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Višnja\2025\III REBALANS\Za objavu\"/>
    </mc:Choice>
  </mc:AlternateContent>
  <xr:revisionPtr revIDLastSave="0" documentId="13_ncr:1_{EFEC78A6-0E4C-43EF-8E53-4BD5782C362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SEBNI DIO" sheetId="3" state="hidden" r:id="rId1"/>
    <sheet name="Opći dio" sheetId="1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1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1">'Opći dio'!$A$1:$R$234</definedName>
    <definedName name="_xlnm.Print_Area" localSheetId="2">Posebni!$A$1:$L$618</definedName>
    <definedName name="_xlnm.Print_Area" localSheetId="0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7" i="4" l="1"/>
  <c r="O218" i="1"/>
  <c r="Q96" i="1"/>
  <c r="P96" i="1"/>
  <c r="Q97" i="1"/>
  <c r="O96" i="1"/>
  <c r="Q29" i="1"/>
  <c r="H385" i="4"/>
  <c r="H437" i="4"/>
  <c r="P179" i="1"/>
  <c r="O179" i="1"/>
  <c r="J541" i="4"/>
  <c r="I541" i="4"/>
  <c r="J542" i="4"/>
  <c r="L542" i="4" s="1"/>
  <c r="J548" i="4"/>
  <c r="K548" i="4" s="1"/>
  <c r="K547" i="4" s="1"/>
  <c r="K546" i="4" s="1"/>
  <c r="K545" i="4" s="1"/>
  <c r="G548" i="4"/>
  <c r="G547" i="4" s="1"/>
  <c r="G546" i="4" s="1"/>
  <c r="G545" i="4" s="1"/>
  <c r="I547" i="4"/>
  <c r="I546" i="4" s="1"/>
  <c r="I545" i="4" s="1"/>
  <c r="I437" i="4" s="1"/>
  <c r="H547" i="4"/>
  <c r="H546" i="4" s="1"/>
  <c r="H545" i="4" s="1"/>
  <c r="F547" i="4"/>
  <c r="F546" i="4" s="1"/>
  <c r="F545" i="4" s="1"/>
  <c r="I429" i="4"/>
  <c r="H429" i="4"/>
  <c r="J436" i="4"/>
  <c r="L436" i="4" s="1"/>
  <c r="I435" i="4"/>
  <c r="I434" i="4" s="1"/>
  <c r="I433" i="4" s="1"/>
  <c r="H435" i="4"/>
  <c r="H434" i="4" s="1"/>
  <c r="H433" i="4" s="1"/>
  <c r="K434" i="4"/>
  <c r="K433" i="4" s="1"/>
  <c r="G434" i="4"/>
  <c r="G433" i="4" s="1"/>
  <c r="F434" i="4"/>
  <c r="F433" i="4" s="1"/>
  <c r="J430" i="4"/>
  <c r="L430" i="4" s="1"/>
  <c r="Q179" i="1" l="1"/>
  <c r="L548" i="4"/>
  <c r="J547" i="4"/>
  <c r="J546" i="4" s="1"/>
  <c r="J545" i="4" s="1"/>
  <c r="L546" i="4"/>
  <c r="J429" i="4"/>
  <c r="J435" i="4"/>
  <c r="J434" i="4" s="1"/>
  <c r="J433" i="4" s="1"/>
  <c r="L431" i="4" s="1"/>
  <c r="I504" i="4"/>
  <c r="O174" i="1"/>
  <c r="P174" i="1"/>
  <c r="J443" i="4"/>
  <c r="L443" i="4" s="1"/>
  <c r="G443" i="4"/>
  <c r="G442" i="4" s="1"/>
  <c r="G441" i="4" s="1"/>
  <c r="G440" i="4" s="1"/>
  <c r="I442" i="4"/>
  <c r="I441" i="4" s="1"/>
  <c r="I440" i="4" s="1"/>
  <c r="H442" i="4"/>
  <c r="H441" i="4" s="1"/>
  <c r="H440" i="4" s="1"/>
  <c r="F442" i="4"/>
  <c r="F441" i="4" s="1"/>
  <c r="F440" i="4" s="1"/>
  <c r="O122" i="1"/>
  <c r="O178" i="1"/>
  <c r="L543" i="4" l="1"/>
  <c r="J437" i="4"/>
  <c r="L547" i="4"/>
  <c r="L434" i="4"/>
  <c r="L435" i="4"/>
  <c r="J442" i="4"/>
  <c r="L442" i="4" s="1"/>
  <c r="K443" i="4"/>
  <c r="K442" i="4" s="1"/>
  <c r="K441" i="4" s="1"/>
  <c r="K440" i="4" s="1"/>
  <c r="J441" i="4" l="1"/>
  <c r="L441" i="4" s="1"/>
  <c r="J440" i="4" l="1"/>
  <c r="L438" i="4" s="1"/>
  <c r="H517" i="4"/>
  <c r="H516" i="4" s="1"/>
  <c r="P178" i="1"/>
  <c r="J404" i="4"/>
  <c r="I517" i="4"/>
  <c r="I516" i="4" s="1"/>
  <c r="I513" i="4"/>
  <c r="I512" i="4" s="1"/>
  <c r="H513" i="4"/>
  <c r="H512" i="4" s="1"/>
  <c r="I507" i="4"/>
  <c r="I506" i="4" s="1"/>
  <c r="K506" i="4"/>
  <c r="H507" i="4"/>
  <c r="H506" i="4" s="1"/>
  <c r="I501" i="4"/>
  <c r="P122" i="1" l="1"/>
  <c r="J514" i="4"/>
  <c r="J515" i="4"/>
  <c r="L515" i="4" s="1"/>
  <c r="J518" i="4"/>
  <c r="J519" i="4"/>
  <c r="L519" i="4" s="1"/>
  <c r="J509" i="4"/>
  <c r="L509" i="4" s="1"/>
  <c r="J510" i="4"/>
  <c r="L510" i="4" s="1"/>
  <c r="J511" i="4"/>
  <c r="L511" i="4" s="1"/>
  <c r="J508" i="4"/>
  <c r="R96" i="1"/>
  <c r="R79" i="1"/>
  <c r="R53" i="1"/>
  <c r="R29" i="1"/>
  <c r="Q28" i="1"/>
  <c r="R28" i="1" s="1"/>
  <c r="P58" i="1"/>
  <c r="Q58" i="1"/>
  <c r="Q219" i="1"/>
  <c r="Q200" i="1"/>
  <c r="Q177" i="1"/>
  <c r="R177" i="1" s="1"/>
  <c r="Q168" i="1"/>
  <c r="R168" i="1" s="1"/>
  <c r="Q166" i="1"/>
  <c r="R166" i="1" s="1"/>
  <c r="Q165" i="1"/>
  <c r="R165" i="1" s="1"/>
  <c r="Q139" i="1"/>
  <c r="R139" i="1" s="1"/>
  <c r="Q106" i="1"/>
  <c r="R106" i="1" s="1"/>
  <c r="Q93" i="1"/>
  <c r="R93" i="1" s="1"/>
  <c r="Q90" i="1"/>
  <c r="R90" i="1" s="1"/>
  <c r="Q86" i="1"/>
  <c r="R86" i="1" s="1"/>
  <c r="Q87" i="1"/>
  <c r="R87" i="1" s="1"/>
  <c r="Q85" i="1"/>
  <c r="R85" i="1" s="1"/>
  <c r="Q82" i="1"/>
  <c r="R82" i="1" s="1"/>
  <c r="Q83" i="1"/>
  <c r="R83" i="1" s="1"/>
  <c r="Q81" i="1"/>
  <c r="R81" i="1" s="1"/>
  <c r="Q78" i="1"/>
  <c r="R78" i="1" s="1"/>
  <c r="Q79" i="1"/>
  <c r="Q77" i="1"/>
  <c r="R77" i="1" s="1"/>
  <c r="Q70" i="1"/>
  <c r="R70" i="1" s="1"/>
  <c r="Q71" i="1"/>
  <c r="R71" i="1" s="1"/>
  <c r="Q72" i="1"/>
  <c r="R72" i="1" s="1"/>
  <c r="Q73" i="1"/>
  <c r="R73" i="1" s="1"/>
  <c r="Q74" i="1"/>
  <c r="R74" i="1" s="1"/>
  <c r="Q69" i="1"/>
  <c r="R69" i="1" s="1"/>
  <c r="Q67" i="1"/>
  <c r="R67" i="1" s="1"/>
  <c r="Q66" i="1"/>
  <c r="R66" i="1" s="1"/>
  <c r="Q63" i="1"/>
  <c r="R63" i="1" s="1"/>
  <c r="Q62" i="1"/>
  <c r="R62" i="1" s="1"/>
  <c r="Q60" i="1"/>
  <c r="R60" i="1" s="1"/>
  <c r="Q59" i="1"/>
  <c r="R59" i="1" s="1"/>
  <c r="Q57" i="1"/>
  <c r="R57" i="1" s="1"/>
  <c r="Q56" i="1"/>
  <c r="R56" i="1" s="1"/>
  <c r="Q53" i="1"/>
  <c r="Q52" i="1"/>
  <c r="R52" i="1" s="1"/>
  <c r="Q50" i="1"/>
  <c r="R50" i="1" s="1"/>
  <c r="Q49" i="1"/>
  <c r="R49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1" i="1"/>
  <c r="R41" i="1" s="1"/>
  <c r="I582" i="4"/>
  <c r="H582" i="4"/>
  <c r="J614" i="4"/>
  <c r="L614" i="4" s="1"/>
  <c r="J612" i="4"/>
  <c r="L612" i="4" s="1"/>
  <c r="J611" i="4"/>
  <c r="J608" i="4"/>
  <c r="L608" i="4" s="1"/>
  <c r="J607" i="4"/>
  <c r="L607" i="4" s="1"/>
  <c r="J605" i="4"/>
  <c r="J604" i="4" s="1"/>
  <c r="J603" i="4"/>
  <c r="J602" i="4"/>
  <c r="L602" i="4" s="1"/>
  <c r="J595" i="4"/>
  <c r="L595" i="4" s="1"/>
  <c r="J591" i="4"/>
  <c r="L591" i="4" s="1"/>
  <c r="J592" i="4"/>
  <c r="J593" i="4"/>
  <c r="L593" i="4" s="1"/>
  <c r="J590" i="4"/>
  <c r="L590" i="4" s="1"/>
  <c r="J584" i="4"/>
  <c r="L584" i="4" s="1"/>
  <c r="J583" i="4"/>
  <c r="J581" i="4"/>
  <c r="L581" i="4" s="1"/>
  <c r="J580" i="4"/>
  <c r="L580" i="4" s="1"/>
  <c r="J577" i="4"/>
  <c r="L577" i="4" s="1"/>
  <c r="J576" i="4"/>
  <c r="J574" i="4"/>
  <c r="L574" i="4" s="1"/>
  <c r="J573" i="4"/>
  <c r="L573" i="4" s="1"/>
  <c r="J571" i="4"/>
  <c r="L571" i="4" s="1"/>
  <c r="J570" i="4"/>
  <c r="J563" i="4"/>
  <c r="L563" i="4" s="1"/>
  <c r="J562" i="4"/>
  <c r="L562" i="4" s="1"/>
  <c r="J556" i="4"/>
  <c r="L556" i="4" s="1"/>
  <c r="J555" i="4"/>
  <c r="J540" i="4"/>
  <c r="L540" i="4" s="1"/>
  <c r="I532" i="4"/>
  <c r="I531" i="4" s="1"/>
  <c r="I530" i="4" s="1"/>
  <c r="J534" i="4"/>
  <c r="L534" i="4" s="1"/>
  <c r="J533" i="4"/>
  <c r="L533" i="4" s="1"/>
  <c r="J527" i="4"/>
  <c r="L527" i="4" s="1"/>
  <c r="J525" i="4"/>
  <c r="J505" i="4"/>
  <c r="L505" i="4" s="1"/>
  <c r="J503" i="4"/>
  <c r="J502" i="4"/>
  <c r="L502" i="4" s="1"/>
  <c r="J489" i="4"/>
  <c r="L489" i="4" s="1"/>
  <c r="I481" i="4"/>
  <c r="I480" i="4" s="1"/>
  <c r="J483" i="4"/>
  <c r="K483" i="4" s="1"/>
  <c r="J482" i="4"/>
  <c r="K482" i="4" s="1"/>
  <c r="K481" i="4" s="1"/>
  <c r="K480" i="4" s="1"/>
  <c r="K479" i="4" s="1"/>
  <c r="J476" i="4"/>
  <c r="L476" i="4" s="1"/>
  <c r="J475" i="4"/>
  <c r="L475" i="4" s="1"/>
  <c r="J469" i="4"/>
  <c r="L469" i="4" s="1"/>
  <c r="J463" i="4"/>
  <c r="J462" i="4" s="1"/>
  <c r="J451" i="4"/>
  <c r="L451" i="4" s="1"/>
  <c r="J449" i="4"/>
  <c r="L449" i="4" s="1"/>
  <c r="J428" i="4"/>
  <c r="J422" i="4"/>
  <c r="L422" i="4" s="1"/>
  <c r="J420" i="4"/>
  <c r="L420" i="4" s="1"/>
  <c r="J414" i="4"/>
  <c r="L414" i="4" s="1"/>
  <c r="J413" i="4"/>
  <c r="J405" i="4"/>
  <c r="L405" i="4" s="1"/>
  <c r="J406" i="4"/>
  <c r="L406" i="4" s="1"/>
  <c r="J407" i="4"/>
  <c r="L407" i="4" s="1"/>
  <c r="J403" i="4"/>
  <c r="J397" i="4"/>
  <c r="J391" i="4"/>
  <c r="L391" i="4" s="1"/>
  <c r="I383" i="4"/>
  <c r="J384" i="4"/>
  <c r="J382" i="4"/>
  <c r="L382" i="4" s="1"/>
  <c r="I368" i="4"/>
  <c r="I367" i="4" s="1"/>
  <c r="J369" i="4"/>
  <c r="L369" i="4" s="1"/>
  <c r="J366" i="4"/>
  <c r="L366" i="4" s="1"/>
  <c r="J365" i="4"/>
  <c r="L365" i="4" s="1"/>
  <c r="J359" i="4"/>
  <c r="L359" i="4" s="1"/>
  <c r="J357" i="4"/>
  <c r="L357" i="4" s="1"/>
  <c r="J351" i="4"/>
  <c r="K351" i="4" s="1"/>
  <c r="K350" i="4" s="1"/>
  <c r="K349" i="4" s="1"/>
  <c r="K348" i="4" s="1"/>
  <c r="J345" i="4"/>
  <c r="J344" i="4" s="1"/>
  <c r="J339" i="4"/>
  <c r="J338" i="4" s="1"/>
  <c r="J333" i="4"/>
  <c r="L333" i="4" s="1"/>
  <c r="J327" i="4"/>
  <c r="J326" i="4" s="1"/>
  <c r="J321" i="4"/>
  <c r="L321" i="4" s="1"/>
  <c r="J312" i="4"/>
  <c r="L312" i="4" s="1"/>
  <c r="J311" i="4"/>
  <c r="L311" i="4" s="1"/>
  <c r="J305" i="4"/>
  <c r="L305" i="4" s="1"/>
  <c r="J303" i="4"/>
  <c r="L303" i="4" s="1"/>
  <c r="J296" i="4"/>
  <c r="L296" i="4" s="1"/>
  <c r="J290" i="4"/>
  <c r="K290" i="4" s="1"/>
  <c r="K289" i="4" s="1"/>
  <c r="K288" i="4" s="1"/>
  <c r="K287" i="4" s="1"/>
  <c r="J283" i="4"/>
  <c r="L283" i="4" s="1"/>
  <c r="J277" i="4"/>
  <c r="L277" i="4" s="1"/>
  <c r="J270" i="4"/>
  <c r="J269" i="4" s="1"/>
  <c r="J268" i="4"/>
  <c r="J267" i="4" s="1"/>
  <c r="J261" i="4"/>
  <c r="J260" i="4"/>
  <c r="L260" i="4" s="1"/>
  <c r="J258" i="4"/>
  <c r="K258" i="4" s="1"/>
  <c r="J257" i="4"/>
  <c r="J251" i="4"/>
  <c r="K251" i="4" s="1"/>
  <c r="K250" i="4" s="1"/>
  <c r="K249" i="4" s="1"/>
  <c r="K248" i="4" s="1"/>
  <c r="J244" i="4"/>
  <c r="L244" i="4" s="1"/>
  <c r="J237" i="4"/>
  <c r="J236" i="4"/>
  <c r="J229" i="4"/>
  <c r="L229" i="4" s="1"/>
  <c r="J223" i="4"/>
  <c r="L223" i="4" s="1"/>
  <c r="J217" i="4"/>
  <c r="K217" i="4" s="1"/>
  <c r="K216" i="4" s="1"/>
  <c r="K215" i="4" s="1"/>
  <c r="K214" i="4" s="1"/>
  <c r="J211" i="4"/>
  <c r="J204" i="4"/>
  <c r="L204" i="4" s="1"/>
  <c r="J198" i="4"/>
  <c r="K198" i="4" s="1"/>
  <c r="K197" i="4" s="1"/>
  <c r="K196" i="4" s="1"/>
  <c r="K195" i="4" s="1"/>
  <c r="J191" i="4"/>
  <c r="J184" i="4"/>
  <c r="J178" i="4"/>
  <c r="L178" i="4" s="1"/>
  <c r="J166" i="4"/>
  <c r="L166" i="4" s="1"/>
  <c r="J167" i="4"/>
  <c r="L167" i="4" s="1"/>
  <c r="J168" i="4"/>
  <c r="J169" i="4"/>
  <c r="K169" i="4" s="1"/>
  <c r="J170" i="4"/>
  <c r="L170" i="4" s="1"/>
  <c r="J171" i="4"/>
  <c r="L171" i="4" s="1"/>
  <c r="J172" i="4"/>
  <c r="J165" i="4"/>
  <c r="L165" i="4" s="1"/>
  <c r="J158" i="4"/>
  <c r="L158" i="4" s="1"/>
  <c r="J159" i="4"/>
  <c r="L159" i="4" s="1"/>
  <c r="J157" i="4"/>
  <c r="J149" i="4"/>
  <c r="L149" i="4" s="1"/>
  <c r="J142" i="4"/>
  <c r="L142" i="4" s="1"/>
  <c r="J135" i="4"/>
  <c r="L135" i="4" s="1"/>
  <c r="J134" i="4"/>
  <c r="L134" i="4" s="1"/>
  <c r="J127" i="4"/>
  <c r="K127" i="4" s="1"/>
  <c r="K126" i="4" s="1"/>
  <c r="K125" i="4" s="1"/>
  <c r="K124" i="4" s="1"/>
  <c r="K121" i="4" s="1"/>
  <c r="J120" i="4"/>
  <c r="L120" i="4" s="1"/>
  <c r="J114" i="4"/>
  <c r="L114" i="4" s="1"/>
  <c r="J107" i="4"/>
  <c r="J104" i="4"/>
  <c r="L104" i="4" s="1"/>
  <c r="J102" i="4"/>
  <c r="L102" i="4" s="1"/>
  <c r="I99" i="4"/>
  <c r="J100" i="4"/>
  <c r="L100" i="4" s="1"/>
  <c r="J92" i="4"/>
  <c r="L92" i="4" s="1"/>
  <c r="J93" i="4"/>
  <c r="L93" i="4" s="1"/>
  <c r="J91" i="4"/>
  <c r="J84" i="4"/>
  <c r="K84" i="4" s="1"/>
  <c r="K83" i="4" s="1"/>
  <c r="K82" i="4" s="1"/>
  <c r="K81" i="4" s="1"/>
  <c r="J78" i="4"/>
  <c r="L78" i="4" s="1"/>
  <c r="J72" i="4"/>
  <c r="L72" i="4" s="1"/>
  <c r="J63" i="4"/>
  <c r="J64" i="4"/>
  <c r="L64" i="4" s="1"/>
  <c r="J65" i="4"/>
  <c r="L65" i="4" s="1"/>
  <c r="J66" i="4"/>
  <c r="K66" i="4" s="1"/>
  <c r="J62" i="4"/>
  <c r="K62" i="4" s="1"/>
  <c r="J55" i="4"/>
  <c r="L55" i="4" s="1"/>
  <c r="J56" i="4"/>
  <c r="L56" i="4" s="1"/>
  <c r="J54" i="4"/>
  <c r="K54" i="4" s="1"/>
  <c r="J49" i="4"/>
  <c r="J50" i="4"/>
  <c r="L50" i="4" s="1"/>
  <c r="J51" i="4"/>
  <c r="K51" i="4" s="1"/>
  <c r="J48" i="4"/>
  <c r="L48" i="4" s="1"/>
  <c r="J46" i="4"/>
  <c r="J38" i="4"/>
  <c r="L38" i="4" s="1"/>
  <c r="J39" i="4"/>
  <c r="K39" i="4" s="1"/>
  <c r="J40" i="4"/>
  <c r="K40" i="4" s="1"/>
  <c r="J41" i="4"/>
  <c r="L41" i="4" s="1"/>
  <c r="J42" i="4"/>
  <c r="L42" i="4" s="1"/>
  <c r="J43" i="4"/>
  <c r="K43" i="4" s="1"/>
  <c r="J44" i="4"/>
  <c r="L44" i="4" s="1"/>
  <c r="J37" i="4"/>
  <c r="K37" i="4" s="1"/>
  <c r="J32" i="4"/>
  <c r="K32" i="4" s="1"/>
  <c r="J33" i="4"/>
  <c r="L33" i="4" s="1"/>
  <c r="J34" i="4"/>
  <c r="L34" i="4" s="1"/>
  <c r="J35" i="4"/>
  <c r="L35" i="4" s="1"/>
  <c r="J31" i="4"/>
  <c r="L31" i="4" s="1"/>
  <c r="J23" i="4"/>
  <c r="L23" i="4" s="1"/>
  <c r="J24" i="4"/>
  <c r="L24" i="4" s="1"/>
  <c r="J25" i="4"/>
  <c r="J22" i="4"/>
  <c r="K22" i="4" s="1"/>
  <c r="J19" i="4"/>
  <c r="K19" i="4" s="1"/>
  <c r="K18" i="4" s="1"/>
  <c r="J17" i="4"/>
  <c r="L17" i="4" s="1"/>
  <c r="J15" i="4"/>
  <c r="I101" i="4"/>
  <c r="E7" i="4"/>
  <c r="E13" i="4"/>
  <c r="E12" i="4" s="1"/>
  <c r="F14" i="4"/>
  <c r="H14" i="4"/>
  <c r="I14" i="4"/>
  <c r="G15" i="4"/>
  <c r="G14" i="4" s="1"/>
  <c r="F16" i="4"/>
  <c r="H16" i="4"/>
  <c r="I16" i="4"/>
  <c r="G17" i="4"/>
  <c r="G16" i="4" s="1"/>
  <c r="F18" i="4"/>
  <c r="H18" i="4"/>
  <c r="I18" i="4"/>
  <c r="G19" i="4"/>
  <c r="G18" i="4" s="1"/>
  <c r="E21" i="4"/>
  <c r="F21" i="4"/>
  <c r="F20" i="4" s="1"/>
  <c r="H21" i="4"/>
  <c r="I21" i="4"/>
  <c r="I20" i="4" s="1"/>
  <c r="G22" i="4"/>
  <c r="G23" i="4"/>
  <c r="G24" i="4"/>
  <c r="G25" i="4"/>
  <c r="E30" i="4"/>
  <c r="F30" i="4"/>
  <c r="H30" i="4"/>
  <c r="I30" i="4"/>
  <c r="G31" i="4"/>
  <c r="G32" i="4"/>
  <c r="G33" i="4"/>
  <c r="G34" i="4"/>
  <c r="E36" i="4"/>
  <c r="F36" i="4"/>
  <c r="H36" i="4"/>
  <c r="I36" i="4"/>
  <c r="G37" i="4"/>
  <c r="G38" i="4"/>
  <c r="G39" i="4"/>
  <c r="G40" i="4"/>
  <c r="G41" i="4"/>
  <c r="G42" i="4"/>
  <c r="G43" i="4"/>
  <c r="G44" i="4"/>
  <c r="F45" i="4"/>
  <c r="H45" i="4"/>
  <c r="I45" i="4"/>
  <c r="G46" i="4"/>
  <c r="G45" i="4" s="1"/>
  <c r="E47" i="4"/>
  <c r="F47" i="4"/>
  <c r="H47" i="4"/>
  <c r="I47" i="4"/>
  <c r="G48" i="4"/>
  <c r="G49" i="4"/>
  <c r="G50" i="4"/>
  <c r="G51" i="4"/>
  <c r="E53" i="4"/>
  <c r="F53" i="4"/>
  <c r="F52" i="4" s="1"/>
  <c r="H53" i="4"/>
  <c r="H52" i="4" s="1"/>
  <c r="I53" i="4"/>
  <c r="G54" i="4"/>
  <c r="G55" i="4"/>
  <c r="G56" i="4"/>
  <c r="E61" i="4"/>
  <c r="F61" i="4"/>
  <c r="F60" i="4" s="1"/>
  <c r="F59" i="4" s="1"/>
  <c r="H61" i="4"/>
  <c r="I61" i="4"/>
  <c r="I60" i="4" s="1"/>
  <c r="G62" i="4"/>
  <c r="G63" i="4"/>
  <c r="G64" i="4"/>
  <c r="G65" i="4"/>
  <c r="G66" i="4"/>
  <c r="F71" i="4"/>
  <c r="F70" i="4" s="1"/>
  <c r="F69" i="4" s="1"/>
  <c r="H71" i="4"/>
  <c r="H70" i="4" s="1"/>
  <c r="H69" i="4" s="1"/>
  <c r="I71" i="4"/>
  <c r="I70" i="4" s="1"/>
  <c r="G72" i="4"/>
  <c r="G71" i="4" s="1"/>
  <c r="G70" i="4" s="1"/>
  <c r="G69" i="4" s="1"/>
  <c r="F77" i="4"/>
  <c r="F76" i="4" s="1"/>
  <c r="F75" i="4" s="1"/>
  <c r="H77" i="4"/>
  <c r="H76" i="4" s="1"/>
  <c r="H75" i="4" s="1"/>
  <c r="I77" i="4"/>
  <c r="G78" i="4"/>
  <c r="G77" i="4" s="1"/>
  <c r="G76" i="4" s="1"/>
  <c r="G75" i="4" s="1"/>
  <c r="F83" i="4"/>
  <c r="F82" i="4" s="1"/>
  <c r="F81" i="4" s="1"/>
  <c r="H83" i="4"/>
  <c r="H82" i="4" s="1"/>
  <c r="H81" i="4" s="1"/>
  <c r="I83" i="4"/>
  <c r="I82" i="4" s="1"/>
  <c r="G84" i="4"/>
  <c r="G83" i="4" s="1"/>
  <c r="G82" i="4" s="1"/>
  <c r="G81" i="4" s="1"/>
  <c r="E90" i="4"/>
  <c r="F90" i="4"/>
  <c r="F89" i="4" s="1"/>
  <c r="F88" i="4" s="1"/>
  <c r="F85" i="4" s="1"/>
  <c r="H90" i="4"/>
  <c r="H89" i="4" s="1"/>
  <c r="H88" i="4" s="1"/>
  <c r="H85" i="4" s="1"/>
  <c r="I90" i="4"/>
  <c r="G91" i="4"/>
  <c r="G92" i="4"/>
  <c r="G93" i="4"/>
  <c r="H99" i="4"/>
  <c r="F101" i="4"/>
  <c r="H101" i="4"/>
  <c r="G102" i="4"/>
  <c r="G101" i="4" s="1"/>
  <c r="F103" i="4"/>
  <c r="H103" i="4"/>
  <c r="I103" i="4"/>
  <c r="G104" i="4"/>
  <c r="G103" i="4" s="1"/>
  <c r="F106" i="4"/>
  <c r="F105" i="4" s="1"/>
  <c r="H106" i="4"/>
  <c r="H105" i="4" s="1"/>
  <c r="I106" i="4"/>
  <c r="I105" i="4" s="1"/>
  <c r="G107" i="4"/>
  <c r="G106" i="4" s="1"/>
  <c r="G105" i="4" s="1"/>
  <c r="F113" i="4"/>
  <c r="F112" i="4" s="1"/>
  <c r="F111" i="4" s="1"/>
  <c r="H113" i="4"/>
  <c r="I113" i="4"/>
  <c r="G114" i="4"/>
  <c r="G113" i="4" s="1"/>
  <c r="G112" i="4" s="1"/>
  <c r="G111" i="4" s="1"/>
  <c r="F119" i="4"/>
  <c r="F118" i="4" s="1"/>
  <c r="F117" i="4" s="1"/>
  <c r="H119" i="4"/>
  <c r="H118" i="4" s="1"/>
  <c r="I119" i="4"/>
  <c r="G120" i="4"/>
  <c r="G119" i="4" s="1"/>
  <c r="G118" i="4" s="1"/>
  <c r="G117" i="4" s="1"/>
  <c r="F126" i="4"/>
  <c r="F125" i="4" s="1"/>
  <c r="F124" i="4" s="1"/>
  <c r="F121" i="4" s="1"/>
  <c r="H126" i="4"/>
  <c r="I126" i="4"/>
  <c r="I125" i="4" s="1"/>
  <c r="I124" i="4" s="1"/>
  <c r="I121" i="4" s="1"/>
  <c r="G127" i="4"/>
  <c r="G126" i="4" s="1"/>
  <c r="G125" i="4" s="1"/>
  <c r="G124" i="4" s="1"/>
  <c r="G121" i="4" s="1"/>
  <c r="F133" i="4"/>
  <c r="F132" i="4" s="1"/>
  <c r="F131" i="4" s="1"/>
  <c r="F128" i="4" s="1"/>
  <c r="H133" i="4"/>
  <c r="H132" i="4" s="1"/>
  <c r="H131" i="4" s="1"/>
  <c r="H128" i="4" s="1"/>
  <c r="G134" i="4"/>
  <c r="G135" i="4"/>
  <c r="F141" i="4"/>
  <c r="F140" i="4" s="1"/>
  <c r="F139" i="4" s="1"/>
  <c r="F136" i="4" s="1"/>
  <c r="H141" i="4"/>
  <c r="I141" i="4"/>
  <c r="G142" i="4"/>
  <c r="G141" i="4" s="1"/>
  <c r="G140" i="4" s="1"/>
  <c r="G139" i="4" s="1"/>
  <c r="G136" i="4" s="1"/>
  <c r="F148" i="4"/>
  <c r="F147" i="4" s="1"/>
  <c r="F146" i="4" s="1"/>
  <c r="F143" i="4" s="1"/>
  <c r="H148" i="4"/>
  <c r="I148" i="4"/>
  <c r="I147" i="4" s="1"/>
  <c r="I146" i="4" s="1"/>
  <c r="G149" i="4"/>
  <c r="G148" i="4" s="1"/>
  <c r="G147" i="4" s="1"/>
  <c r="G146" i="4" s="1"/>
  <c r="G143" i="4" s="1"/>
  <c r="E150" i="4"/>
  <c r="H156" i="4"/>
  <c r="I156" i="4"/>
  <c r="I155" i="4" s="1"/>
  <c r="G157" i="4"/>
  <c r="G158" i="4"/>
  <c r="F162" i="4"/>
  <c r="H164" i="4"/>
  <c r="H163" i="4" s="1"/>
  <c r="H162" i="4" s="1"/>
  <c r="I164" i="4"/>
  <c r="G165" i="4"/>
  <c r="G166" i="4"/>
  <c r="G167" i="4"/>
  <c r="G168" i="4"/>
  <c r="G162" i="4" s="1"/>
  <c r="G169" i="4"/>
  <c r="G170" i="4"/>
  <c r="G171" i="4"/>
  <c r="G172" i="4"/>
  <c r="F177" i="4"/>
  <c r="F176" i="4" s="1"/>
  <c r="F175" i="4" s="1"/>
  <c r="H177" i="4"/>
  <c r="H176" i="4" s="1"/>
  <c r="I177" i="4"/>
  <c r="G178" i="4"/>
  <c r="G177" i="4" s="1"/>
  <c r="G176" i="4" s="1"/>
  <c r="G175" i="4" s="1"/>
  <c r="F183" i="4"/>
  <c r="F182" i="4" s="1"/>
  <c r="F181" i="4" s="1"/>
  <c r="H183" i="4"/>
  <c r="I183" i="4"/>
  <c r="G184" i="4"/>
  <c r="G183" i="4" s="1"/>
  <c r="G182" i="4" s="1"/>
  <c r="G181" i="4" s="1"/>
  <c r="F190" i="4"/>
  <c r="F189" i="4" s="1"/>
  <c r="F188" i="4" s="1"/>
  <c r="F185" i="4" s="1"/>
  <c r="H190" i="4"/>
  <c r="I190" i="4"/>
  <c r="I189" i="4" s="1"/>
  <c r="G191" i="4"/>
  <c r="G190" i="4" s="1"/>
  <c r="G189" i="4" s="1"/>
  <c r="G188" i="4" s="1"/>
  <c r="G185" i="4" s="1"/>
  <c r="F197" i="4"/>
  <c r="F196" i="4" s="1"/>
  <c r="F195" i="4" s="1"/>
  <c r="H197" i="4"/>
  <c r="I197" i="4"/>
  <c r="G198" i="4"/>
  <c r="G197" i="4" s="1"/>
  <c r="G196" i="4" s="1"/>
  <c r="G195" i="4" s="1"/>
  <c r="H201" i="4"/>
  <c r="F203" i="4"/>
  <c r="F202" i="4" s="1"/>
  <c r="F201" i="4" s="1"/>
  <c r="H203" i="4"/>
  <c r="I203" i="4"/>
  <c r="I202" i="4" s="1"/>
  <c r="I201" i="4" s="1"/>
  <c r="G204" i="4"/>
  <c r="G203" i="4" s="1"/>
  <c r="G202" i="4" s="1"/>
  <c r="G201" i="4" s="1"/>
  <c r="E205" i="4"/>
  <c r="F210" i="4"/>
  <c r="F209" i="4" s="1"/>
  <c r="F208" i="4" s="1"/>
  <c r="H210" i="4"/>
  <c r="H209" i="4" s="1"/>
  <c r="H208" i="4" s="1"/>
  <c r="I210" i="4"/>
  <c r="G211" i="4"/>
  <c r="G210" i="4" s="1"/>
  <c r="G209" i="4" s="1"/>
  <c r="G208" i="4" s="1"/>
  <c r="F216" i="4"/>
  <c r="F215" i="4" s="1"/>
  <c r="F214" i="4" s="1"/>
  <c r="H216" i="4"/>
  <c r="H215" i="4" s="1"/>
  <c r="H214" i="4" s="1"/>
  <c r="I216" i="4"/>
  <c r="I215" i="4" s="1"/>
  <c r="I214" i="4" s="1"/>
  <c r="G217" i="4"/>
  <c r="G216" i="4" s="1"/>
  <c r="G215" i="4" s="1"/>
  <c r="G214" i="4" s="1"/>
  <c r="F222" i="4"/>
  <c r="F221" i="4" s="1"/>
  <c r="F220" i="4" s="1"/>
  <c r="H222" i="4"/>
  <c r="I222" i="4"/>
  <c r="I221" i="4" s="1"/>
  <c r="G223" i="4"/>
  <c r="G222" i="4" s="1"/>
  <c r="G221" i="4" s="1"/>
  <c r="G220" i="4" s="1"/>
  <c r="F228" i="4"/>
  <c r="F227" i="4" s="1"/>
  <c r="F226" i="4" s="1"/>
  <c r="H228" i="4"/>
  <c r="H227" i="4" s="1"/>
  <c r="H226" i="4" s="1"/>
  <c r="I228" i="4"/>
  <c r="G229" i="4"/>
  <c r="G228" i="4" s="1"/>
  <c r="G227" i="4" s="1"/>
  <c r="G226" i="4" s="1"/>
  <c r="F235" i="4"/>
  <c r="F234" i="4" s="1"/>
  <c r="F233" i="4" s="1"/>
  <c r="H235" i="4"/>
  <c r="I235" i="4"/>
  <c r="I234" i="4" s="1"/>
  <c r="I233" i="4" s="1"/>
  <c r="G236" i="4"/>
  <c r="G237" i="4"/>
  <c r="F243" i="4"/>
  <c r="F242" i="4" s="1"/>
  <c r="F241" i="4" s="1"/>
  <c r="F238" i="4" s="1"/>
  <c r="H243" i="4"/>
  <c r="H242" i="4" s="1"/>
  <c r="H241" i="4" s="1"/>
  <c r="H238" i="4" s="1"/>
  <c r="I243" i="4"/>
  <c r="I242" i="4" s="1"/>
  <c r="G244" i="4"/>
  <c r="G243" i="4" s="1"/>
  <c r="G242" i="4" s="1"/>
  <c r="G241" i="4" s="1"/>
  <c r="G238" i="4" s="1"/>
  <c r="E245" i="4"/>
  <c r="F250" i="4"/>
  <c r="F249" i="4" s="1"/>
  <c r="F248" i="4" s="1"/>
  <c r="H250" i="4"/>
  <c r="H249" i="4" s="1"/>
  <c r="H248" i="4" s="1"/>
  <c r="I250" i="4"/>
  <c r="G251" i="4"/>
  <c r="G250" i="4" s="1"/>
  <c r="G249" i="4" s="1"/>
  <c r="G248" i="4" s="1"/>
  <c r="F256" i="4"/>
  <c r="H256" i="4"/>
  <c r="I256" i="4"/>
  <c r="G257" i="4"/>
  <c r="G258" i="4"/>
  <c r="F259" i="4"/>
  <c r="H259" i="4"/>
  <c r="I259" i="4"/>
  <c r="G260" i="4"/>
  <c r="G261" i="4"/>
  <c r="F267" i="4"/>
  <c r="H267" i="4"/>
  <c r="G268" i="4"/>
  <c r="G267" i="4" s="1"/>
  <c r="F269" i="4"/>
  <c r="H269" i="4"/>
  <c r="I269" i="4"/>
  <c r="G270" i="4"/>
  <c r="G269" i="4" s="1"/>
  <c r="E271" i="4"/>
  <c r="F276" i="4"/>
  <c r="F275" i="4" s="1"/>
  <c r="F274" i="4" s="1"/>
  <c r="H276" i="4"/>
  <c r="I276" i="4"/>
  <c r="I275" i="4" s="1"/>
  <c r="I274" i="4" s="1"/>
  <c r="G277" i="4"/>
  <c r="G276" i="4" s="1"/>
  <c r="G275" i="4" s="1"/>
  <c r="G274" i="4" s="1"/>
  <c r="F282" i="4"/>
  <c r="F281" i="4" s="1"/>
  <c r="F280" i="4" s="1"/>
  <c r="H282" i="4"/>
  <c r="I282" i="4"/>
  <c r="I281" i="4" s="1"/>
  <c r="I280" i="4" s="1"/>
  <c r="G283" i="4"/>
  <c r="G282" i="4" s="1"/>
  <c r="G281" i="4" s="1"/>
  <c r="G280" i="4" s="1"/>
  <c r="F289" i="4"/>
  <c r="F288" i="4" s="1"/>
  <c r="F287" i="4" s="1"/>
  <c r="H289" i="4"/>
  <c r="H288" i="4" s="1"/>
  <c r="H287" i="4" s="1"/>
  <c r="I289" i="4"/>
  <c r="G290" i="4"/>
  <c r="G289" i="4" s="1"/>
  <c r="G288" i="4" s="1"/>
  <c r="G287" i="4" s="1"/>
  <c r="F295" i="4"/>
  <c r="F294" i="4" s="1"/>
  <c r="F293" i="4" s="1"/>
  <c r="H295" i="4"/>
  <c r="H294" i="4" s="1"/>
  <c r="H293" i="4" s="1"/>
  <c r="I295" i="4"/>
  <c r="G296" i="4"/>
  <c r="G295" i="4" s="1"/>
  <c r="G294" i="4" s="1"/>
  <c r="G293" i="4" s="1"/>
  <c r="E297" i="4"/>
  <c r="F302" i="4"/>
  <c r="H302" i="4"/>
  <c r="I302" i="4"/>
  <c r="G303" i="4"/>
  <c r="G302" i="4" s="1"/>
  <c r="F304" i="4"/>
  <c r="H304" i="4"/>
  <c r="I304" i="4"/>
  <c r="G305" i="4"/>
  <c r="G304" i="4" s="1"/>
  <c r="F310" i="4"/>
  <c r="F309" i="4" s="1"/>
  <c r="H310" i="4"/>
  <c r="I310" i="4"/>
  <c r="I309" i="4" s="1"/>
  <c r="G311" i="4"/>
  <c r="G312" i="4"/>
  <c r="F314" i="4"/>
  <c r="F313" i="4" s="1"/>
  <c r="G314" i="4"/>
  <c r="G313" i="4" s="1"/>
  <c r="H314" i="4"/>
  <c r="I314" i="4"/>
  <c r="I313" i="4" s="1"/>
  <c r="J314" i="4"/>
  <c r="J313" i="4" s="1"/>
  <c r="K314" i="4"/>
  <c r="K313" i="4" s="1"/>
  <c r="L315" i="4"/>
  <c r="F320" i="4"/>
  <c r="F319" i="4" s="1"/>
  <c r="F318" i="4" s="1"/>
  <c r="H320" i="4"/>
  <c r="H319" i="4" s="1"/>
  <c r="H318" i="4" s="1"/>
  <c r="I320" i="4"/>
  <c r="G321" i="4"/>
  <c r="G320" i="4" s="1"/>
  <c r="G319" i="4" s="1"/>
  <c r="G318" i="4" s="1"/>
  <c r="F326" i="4"/>
  <c r="F325" i="4" s="1"/>
  <c r="F324" i="4" s="1"/>
  <c r="H326" i="4"/>
  <c r="H325" i="4" s="1"/>
  <c r="H324" i="4" s="1"/>
  <c r="I326" i="4"/>
  <c r="I325" i="4" s="1"/>
  <c r="G327" i="4"/>
  <c r="G326" i="4" s="1"/>
  <c r="G325" i="4" s="1"/>
  <c r="G324" i="4" s="1"/>
  <c r="F332" i="4"/>
  <c r="F331" i="4" s="1"/>
  <c r="F330" i="4" s="1"/>
  <c r="H332" i="4"/>
  <c r="H331" i="4" s="1"/>
  <c r="H330" i="4" s="1"/>
  <c r="I332" i="4"/>
  <c r="G333" i="4"/>
  <c r="G332" i="4" s="1"/>
  <c r="G331" i="4" s="1"/>
  <c r="G330" i="4" s="1"/>
  <c r="F338" i="4"/>
  <c r="F337" i="4" s="1"/>
  <c r="F336" i="4" s="1"/>
  <c r="H338" i="4"/>
  <c r="H337" i="4" s="1"/>
  <c r="H336" i="4" s="1"/>
  <c r="I338" i="4"/>
  <c r="I337" i="4" s="1"/>
  <c r="I336" i="4" s="1"/>
  <c r="G339" i="4"/>
  <c r="G338" i="4" s="1"/>
  <c r="G337" i="4" s="1"/>
  <c r="G336" i="4" s="1"/>
  <c r="F344" i="4"/>
  <c r="F343" i="4" s="1"/>
  <c r="F342" i="4" s="1"/>
  <c r="H344" i="4"/>
  <c r="H343" i="4" s="1"/>
  <c r="H342" i="4" s="1"/>
  <c r="I344" i="4"/>
  <c r="G345" i="4"/>
  <c r="G344" i="4" s="1"/>
  <c r="G343" i="4" s="1"/>
  <c r="G342" i="4" s="1"/>
  <c r="F350" i="4"/>
  <c r="F349" i="4" s="1"/>
  <c r="F348" i="4" s="1"/>
  <c r="H350" i="4"/>
  <c r="H349" i="4" s="1"/>
  <c r="H348" i="4" s="1"/>
  <c r="I350" i="4"/>
  <c r="I349" i="4" s="1"/>
  <c r="G351" i="4"/>
  <c r="G350" i="4" s="1"/>
  <c r="G349" i="4" s="1"/>
  <c r="G348" i="4" s="1"/>
  <c r="F356" i="4"/>
  <c r="H356" i="4"/>
  <c r="I356" i="4"/>
  <c r="G357" i="4"/>
  <c r="G356" i="4" s="1"/>
  <c r="F358" i="4"/>
  <c r="H358" i="4"/>
  <c r="I358" i="4"/>
  <c r="G359" i="4"/>
  <c r="G358" i="4" s="1"/>
  <c r="H364" i="4"/>
  <c r="H363" i="4" s="1"/>
  <c r="I364" i="4"/>
  <c r="I363" i="4" s="1"/>
  <c r="F365" i="4"/>
  <c r="F363" i="4" s="1"/>
  <c r="F362" i="4" s="1"/>
  <c r="F366" i="4"/>
  <c r="G366" i="4"/>
  <c r="K366" i="4"/>
  <c r="G367" i="4"/>
  <c r="G365" i="4" s="1"/>
  <c r="G363" i="4" s="1"/>
  <c r="G362" i="4" s="1"/>
  <c r="H368" i="4"/>
  <c r="H367" i="4" s="1"/>
  <c r="F374" i="4"/>
  <c r="F373" i="4" s="1"/>
  <c r="F372" i="4" s="1"/>
  <c r="I374" i="4"/>
  <c r="I373" i="4" s="1"/>
  <c r="G375" i="4"/>
  <c r="H375" i="4" s="1"/>
  <c r="J375" i="4" s="1"/>
  <c r="L375" i="4" s="1"/>
  <c r="G376" i="4"/>
  <c r="H376" i="4" s="1"/>
  <c r="J376" i="4" s="1"/>
  <c r="F381" i="4"/>
  <c r="F380" i="4" s="1"/>
  <c r="F379" i="4" s="1"/>
  <c r="H381" i="4"/>
  <c r="I381" i="4"/>
  <c r="G382" i="4"/>
  <c r="G381" i="4" s="1"/>
  <c r="G380" i="4" s="1"/>
  <c r="G379" i="4" s="1"/>
  <c r="H383" i="4"/>
  <c r="E385" i="4"/>
  <c r="F390" i="4"/>
  <c r="F389" i="4" s="1"/>
  <c r="F388" i="4" s="1"/>
  <c r="H390" i="4"/>
  <c r="I390" i="4"/>
  <c r="G391" i="4"/>
  <c r="G390" i="4" s="1"/>
  <c r="G389" i="4" s="1"/>
  <c r="G388" i="4" s="1"/>
  <c r="F396" i="4"/>
  <c r="F395" i="4" s="1"/>
  <c r="F394" i="4" s="1"/>
  <c r="H396" i="4"/>
  <c r="H395" i="4" s="1"/>
  <c r="H394" i="4" s="1"/>
  <c r="I396" i="4"/>
  <c r="I395" i="4" s="1"/>
  <c r="I394" i="4" s="1"/>
  <c r="G397" i="4"/>
  <c r="G396" i="4" s="1"/>
  <c r="G395" i="4" s="1"/>
  <c r="G394" i="4" s="1"/>
  <c r="F402" i="4"/>
  <c r="F401" i="4" s="1"/>
  <c r="F400" i="4" s="1"/>
  <c r="H402" i="4"/>
  <c r="H401" i="4" s="1"/>
  <c r="H400" i="4" s="1"/>
  <c r="I402" i="4"/>
  <c r="G403" i="4"/>
  <c r="G405" i="4"/>
  <c r="G406" i="4"/>
  <c r="G407" i="4"/>
  <c r="F412" i="4"/>
  <c r="F411" i="4" s="1"/>
  <c r="F410" i="4" s="1"/>
  <c r="H412" i="4"/>
  <c r="H411" i="4" s="1"/>
  <c r="H410" i="4" s="1"/>
  <c r="I412" i="4"/>
  <c r="G413" i="4"/>
  <c r="G414" i="4"/>
  <c r="F419" i="4"/>
  <c r="F418" i="4" s="1"/>
  <c r="F417" i="4" s="1"/>
  <c r="H419" i="4"/>
  <c r="I419" i="4"/>
  <c r="G420" i="4"/>
  <c r="G419" i="4" s="1"/>
  <c r="G418" i="4" s="1"/>
  <c r="G417" i="4" s="1"/>
  <c r="H421" i="4"/>
  <c r="I421" i="4"/>
  <c r="H427" i="4"/>
  <c r="I427" i="4"/>
  <c r="E437" i="4"/>
  <c r="F448" i="4"/>
  <c r="H448" i="4"/>
  <c r="I448" i="4"/>
  <c r="G449" i="4"/>
  <c r="G448" i="4" s="1"/>
  <c r="F450" i="4"/>
  <c r="H450" i="4"/>
  <c r="I450" i="4"/>
  <c r="G451" i="4"/>
  <c r="G450" i="4" s="1"/>
  <c r="F456" i="4"/>
  <c r="F455" i="4" s="1"/>
  <c r="F454" i="4" s="1"/>
  <c r="H456" i="4"/>
  <c r="H455" i="4" s="1"/>
  <c r="H454" i="4" s="1"/>
  <c r="I456" i="4"/>
  <c r="J456" i="4"/>
  <c r="J455" i="4" s="1"/>
  <c r="J454" i="4" s="1"/>
  <c r="G457" i="4"/>
  <c r="G456" i="4" s="1"/>
  <c r="G455" i="4" s="1"/>
  <c r="G454" i="4" s="1"/>
  <c r="K457" i="4"/>
  <c r="K456" i="4" s="1"/>
  <c r="K455" i="4" s="1"/>
  <c r="K454" i="4" s="1"/>
  <c r="L457" i="4"/>
  <c r="F462" i="4"/>
  <c r="F461" i="4" s="1"/>
  <c r="F460" i="4" s="1"/>
  <c r="H462" i="4"/>
  <c r="H461" i="4" s="1"/>
  <c r="H460" i="4" s="1"/>
  <c r="I462" i="4"/>
  <c r="I461" i="4" s="1"/>
  <c r="G463" i="4"/>
  <c r="G462" i="4" s="1"/>
  <c r="G461" i="4" s="1"/>
  <c r="G460" i="4" s="1"/>
  <c r="F468" i="4"/>
  <c r="F467" i="4" s="1"/>
  <c r="F466" i="4" s="1"/>
  <c r="H468" i="4"/>
  <c r="H467" i="4" s="1"/>
  <c r="H466" i="4" s="1"/>
  <c r="I468" i="4"/>
  <c r="G469" i="4"/>
  <c r="G468" i="4" s="1"/>
  <c r="G467" i="4" s="1"/>
  <c r="G466" i="4" s="1"/>
  <c r="F474" i="4"/>
  <c r="F473" i="4" s="1"/>
  <c r="F472" i="4" s="1"/>
  <c r="H474" i="4"/>
  <c r="I474" i="4"/>
  <c r="G475" i="4"/>
  <c r="G474" i="4" s="1"/>
  <c r="G473" i="4" s="1"/>
  <c r="G472" i="4" s="1"/>
  <c r="F481" i="4"/>
  <c r="F480" i="4" s="1"/>
  <c r="F479" i="4" s="1"/>
  <c r="H481" i="4"/>
  <c r="H480" i="4" s="1"/>
  <c r="H479" i="4" s="1"/>
  <c r="G482" i="4"/>
  <c r="G481" i="4" s="1"/>
  <c r="G480" i="4" s="1"/>
  <c r="G479" i="4" s="1"/>
  <c r="G483" i="4"/>
  <c r="F488" i="4"/>
  <c r="F487" i="4" s="1"/>
  <c r="F486" i="4" s="1"/>
  <c r="H488" i="4"/>
  <c r="H487" i="4" s="1"/>
  <c r="I488" i="4"/>
  <c r="I487" i="4" s="1"/>
  <c r="I486" i="4" s="1"/>
  <c r="G489" i="4"/>
  <c r="G488" i="4" s="1"/>
  <c r="G487" i="4" s="1"/>
  <c r="G486" i="4" s="1"/>
  <c r="F494" i="4"/>
  <c r="F493" i="4" s="1"/>
  <c r="F492" i="4" s="1"/>
  <c r="I494" i="4"/>
  <c r="I493" i="4" s="1"/>
  <c r="I492" i="4" s="1"/>
  <c r="G495" i="4"/>
  <c r="H495" i="4" s="1"/>
  <c r="L496" i="4"/>
  <c r="F501" i="4"/>
  <c r="F500" i="4" s="1"/>
  <c r="F499" i="4" s="1"/>
  <c r="H501" i="4"/>
  <c r="G503" i="4"/>
  <c r="G501" i="4" s="1"/>
  <c r="G500" i="4" s="1"/>
  <c r="G499" i="4" s="1"/>
  <c r="H504" i="4"/>
  <c r="F524" i="4"/>
  <c r="F523" i="4" s="1"/>
  <c r="F522" i="4" s="1"/>
  <c r="H524" i="4"/>
  <c r="I524" i="4"/>
  <c r="G525" i="4"/>
  <c r="G524" i="4" s="1"/>
  <c r="G523" i="4" s="1"/>
  <c r="G522" i="4" s="1"/>
  <c r="H526" i="4"/>
  <c r="I526" i="4"/>
  <c r="F532" i="4"/>
  <c r="F531" i="4" s="1"/>
  <c r="F530" i="4" s="1"/>
  <c r="H532" i="4"/>
  <c r="G533" i="4"/>
  <c r="G534" i="4"/>
  <c r="G532" i="4" s="1"/>
  <c r="G531" i="4" s="1"/>
  <c r="G530" i="4" s="1"/>
  <c r="I539" i="4"/>
  <c r="F554" i="4"/>
  <c r="F553" i="4" s="1"/>
  <c r="F552" i="4" s="1"/>
  <c r="F549" i="4" s="1"/>
  <c r="G554" i="4"/>
  <c r="G553" i="4" s="1"/>
  <c r="G552" i="4" s="1"/>
  <c r="G549" i="4" s="1"/>
  <c r="H554" i="4"/>
  <c r="H553" i="4" s="1"/>
  <c r="H552" i="4" s="1"/>
  <c r="I554" i="4"/>
  <c r="I553" i="4" s="1"/>
  <c r="I552" i="4" s="1"/>
  <c r="K554" i="4"/>
  <c r="K553" i="4" s="1"/>
  <c r="K552" i="4" s="1"/>
  <c r="K549" i="4" s="1"/>
  <c r="F561" i="4"/>
  <c r="F560" i="4" s="1"/>
  <c r="F559" i="4" s="1"/>
  <c r="G561" i="4"/>
  <c r="G560" i="4" s="1"/>
  <c r="G559" i="4" s="1"/>
  <c r="H561" i="4"/>
  <c r="H560" i="4" s="1"/>
  <c r="H559" i="4" s="1"/>
  <c r="I561" i="4"/>
  <c r="I560" i="4" s="1"/>
  <c r="I559" i="4" s="1"/>
  <c r="K561" i="4"/>
  <c r="K560" i="4" s="1"/>
  <c r="K559" i="4" s="1"/>
  <c r="E568" i="4"/>
  <c r="E567" i="4" s="1"/>
  <c r="E564" i="4" s="1"/>
  <c r="F569" i="4"/>
  <c r="H569" i="4"/>
  <c r="I569" i="4"/>
  <c r="G570" i="4"/>
  <c r="G569" i="4" s="1"/>
  <c r="G571" i="4"/>
  <c r="F572" i="4"/>
  <c r="H572" i="4"/>
  <c r="I572" i="4"/>
  <c r="G573" i="4"/>
  <c r="G572" i="4" s="1"/>
  <c r="G574" i="4"/>
  <c r="F575" i="4"/>
  <c r="H575" i="4"/>
  <c r="I575" i="4"/>
  <c r="G576" i="4"/>
  <c r="G575" i="4" s="1"/>
  <c r="G577" i="4"/>
  <c r="F579" i="4"/>
  <c r="H579" i="4"/>
  <c r="I579" i="4"/>
  <c r="G580" i="4"/>
  <c r="G579" i="4" s="1"/>
  <c r="G581" i="4"/>
  <c r="E582" i="4"/>
  <c r="E579" i="4" s="1"/>
  <c r="F582" i="4"/>
  <c r="G583" i="4"/>
  <c r="G582" i="4" s="1"/>
  <c r="E587" i="4"/>
  <c r="F589" i="4"/>
  <c r="H589" i="4"/>
  <c r="I589" i="4"/>
  <c r="G590" i="4"/>
  <c r="G589" i="4" s="1"/>
  <c r="G591" i="4"/>
  <c r="E594" i="4"/>
  <c r="F594" i="4"/>
  <c r="H594" i="4"/>
  <c r="I594" i="4"/>
  <c r="G595" i="4"/>
  <c r="G594" i="4" s="1"/>
  <c r="E600" i="4"/>
  <c r="E599" i="4" s="1"/>
  <c r="E596" i="4" s="1"/>
  <c r="F601" i="4"/>
  <c r="H601" i="4"/>
  <c r="I601" i="4"/>
  <c r="G602" i="4"/>
  <c r="G601" i="4" s="1"/>
  <c r="G603" i="4"/>
  <c r="F604" i="4"/>
  <c r="G604" i="4"/>
  <c r="H604" i="4"/>
  <c r="I604" i="4"/>
  <c r="K604" i="4"/>
  <c r="F606" i="4"/>
  <c r="H606" i="4"/>
  <c r="I606" i="4"/>
  <c r="G607" i="4"/>
  <c r="G606" i="4" s="1"/>
  <c r="G608" i="4"/>
  <c r="F610" i="4"/>
  <c r="F609" i="4" s="1"/>
  <c r="H610" i="4"/>
  <c r="I610" i="4"/>
  <c r="I609" i="4" s="1"/>
  <c r="G611" i="4"/>
  <c r="G610" i="4" s="1"/>
  <c r="G609" i="4" s="1"/>
  <c r="G612" i="4"/>
  <c r="F613" i="4"/>
  <c r="G613" i="4"/>
  <c r="H613" i="4"/>
  <c r="I613" i="4"/>
  <c r="K613" i="4"/>
  <c r="E615" i="4"/>
  <c r="E613" i="4" s="1"/>
  <c r="E610" i="4" s="1"/>
  <c r="P147" i="1"/>
  <c r="O147" i="1"/>
  <c r="P154" i="1"/>
  <c r="O154" i="1"/>
  <c r="P124" i="1"/>
  <c r="O124" i="1"/>
  <c r="P127" i="1"/>
  <c r="O127" i="1"/>
  <c r="P121" i="1"/>
  <c r="P192" i="1"/>
  <c r="O192" i="1"/>
  <c r="P185" i="1"/>
  <c r="O185" i="1"/>
  <c r="P183" i="1"/>
  <c r="O183" i="1"/>
  <c r="P189" i="1"/>
  <c r="O189" i="1"/>
  <c r="P112" i="1"/>
  <c r="O112" i="1"/>
  <c r="P105" i="1"/>
  <c r="O105" i="1"/>
  <c r="P103" i="1"/>
  <c r="O103" i="1"/>
  <c r="P101" i="1"/>
  <c r="O101" i="1"/>
  <c r="P111" i="1"/>
  <c r="O111" i="1"/>
  <c r="P188" i="1"/>
  <c r="O188" i="1"/>
  <c r="I549" i="4" l="1"/>
  <c r="H549" i="4"/>
  <c r="J495" i="4"/>
  <c r="J396" i="4"/>
  <c r="L396" i="4" s="1"/>
  <c r="K475" i="4"/>
  <c r="K474" i="4" s="1"/>
  <c r="K473" i="4" s="1"/>
  <c r="K472" i="4" s="1"/>
  <c r="K449" i="4"/>
  <c r="K448" i="4" s="1"/>
  <c r="O158" i="1"/>
  <c r="P158" i="1"/>
  <c r="H234" i="4"/>
  <c r="H233" i="4" s="1"/>
  <c r="O125" i="1"/>
  <c r="J517" i="4"/>
  <c r="J516" i="4" s="1"/>
  <c r="L516" i="4" s="1"/>
  <c r="J513" i="4"/>
  <c r="J512" i="4" s="1"/>
  <c r="L512" i="4" s="1"/>
  <c r="L514" i="4"/>
  <c r="L508" i="4"/>
  <c r="J507" i="4"/>
  <c r="J506" i="4" s="1"/>
  <c r="L503" i="4"/>
  <c r="J501" i="4"/>
  <c r="L501" i="4" s="1"/>
  <c r="L518" i="4"/>
  <c r="P125" i="1"/>
  <c r="K339" i="4"/>
  <c r="K338" i="4" s="1"/>
  <c r="K337" i="4" s="1"/>
  <c r="K336" i="4" s="1"/>
  <c r="K312" i="4"/>
  <c r="K167" i="4"/>
  <c r="K135" i="4"/>
  <c r="K533" i="4"/>
  <c r="J419" i="4"/>
  <c r="L419" i="4" s="1"/>
  <c r="J390" i="4"/>
  <c r="J389" i="4" s="1"/>
  <c r="J388" i="4" s="1"/>
  <c r="J119" i="4"/>
  <c r="J118" i="4" s="1"/>
  <c r="J117" i="4" s="1"/>
  <c r="K296" i="4"/>
  <c r="K295" i="4" s="1"/>
  <c r="K294" i="4" s="1"/>
  <c r="K293" i="4" s="1"/>
  <c r="K284" i="4" s="1"/>
  <c r="J613" i="4"/>
  <c r="L613" i="4" s="1"/>
  <c r="L429" i="4"/>
  <c r="K333" i="4"/>
  <c r="K332" i="4" s="1"/>
  <c r="K331" i="4" s="1"/>
  <c r="K330" i="4" s="1"/>
  <c r="K391" i="4"/>
  <c r="K390" i="4" s="1"/>
  <c r="K389" i="4" s="1"/>
  <c r="K388" i="4" s="1"/>
  <c r="J448" i="4"/>
  <c r="L448" i="4" s="1"/>
  <c r="K420" i="4"/>
  <c r="K419" i="4" s="1"/>
  <c r="K418" i="4" s="1"/>
  <c r="K417" i="4" s="1"/>
  <c r="K406" i="4"/>
  <c r="I380" i="4"/>
  <c r="I379" i="4" s="1"/>
  <c r="J358" i="4"/>
  <c r="L358" i="4" s="1"/>
  <c r="K357" i="4"/>
  <c r="K356" i="4" s="1"/>
  <c r="K311" i="4"/>
  <c r="K268" i="4"/>
  <c r="K267" i="4" s="1"/>
  <c r="K171" i="4"/>
  <c r="J113" i="4"/>
  <c r="J112" i="4" s="1"/>
  <c r="J363" i="4"/>
  <c r="L363" i="4" s="1"/>
  <c r="K321" i="4"/>
  <c r="K320" i="4" s="1"/>
  <c r="K319" i="4" s="1"/>
  <c r="K318" i="4" s="1"/>
  <c r="J302" i="4"/>
  <c r="L302" i="4" s="1"/>
  <c r="F447" i="4"/>
  <c r="F446" i="4" s="1"/>
  <c r="F437" i="4" s="1"/>
  <c r="J228" i="4"/>
  <c r="L228" i="4" s="1"/>
  <c r="K571" i="4"/>
  <c r="K607" i="4"/>
  <c r="K606" i="4" s="1"/>
  <c r="K595" i="4"/>
  <c r="K594" i="4" s="1"/>
  <c r="K244" i="4"/>
  <c r="K243" i="4" s="1"/>
  <c r="K242" i="4" s="1"/>
  <c r="K241" i="4" s="1"/>
  <c r="K238" i="4" s="1"/>
  <c r="K612" i="4"/>
  <c r="K577" i="4"/>
  <c r="K260" i="4"/>
  <c r="K591" i="4"/>
  <c r="K170" i="4"/>
  <c r="K223" i="4"/>
  <c r="K222" i="4" s="1"/>
  <c r="K221" i="4" s="1"/>
  <c r="K220" i="4" s="1"/>
  <c r="J594" i="4"/>
  <c r="J539" i="4"/>
  <c r="L539" i="4" s="1"/>
  <c r="J526" i="4"/>
  <c r="K503" i="4"/>
  <c r="K501" i="4" s="1"/>
  <c r="K500" i="4" s="1"/>
  <c r="K499" i="4" s="1"/>
  <c r="K469" i="4"/>
  <c r="K468" i="4" s="1"/>
  <c r="K467" i="4" s="1"/>
  <c r="K466" i="4" s="1"/>
  <c r="J332" i="4"/>
  <c r="J331" i="4" s="1"/>
  <c r="J310" i="4"/>
  <c r="L310" i="4" s="1"/>
  <c r="K305" i="4"/>
  <c r="K304" i="4" s="1"/>
  <c r="K165" i="4"/>
  <c r="K56" i="4"/>
  <c r="J582" i="4"/>
  <c r="L582" i="4" s="1"/>
  <c r="K590" i="4"/>
  <c r="K589" i="4" s="1"/>
  <c r="K92" i="4"/>
  <c r="J77" i="4"/>
  <c r="J76" i="4" s="1"/>
  <c r="L76" i="4" s="1"/>
  <c r="Q178" i="1"/>
  <c r="R178" i="1" s="1"/>
  <c r="K580" i="4"/>
  <c r="K579" i="4" s="1"/>
  <c r="K573" i="4"/>
  <c r="K572" i="4" s="1"/>
  <c r="J356" i="4"/>
  <c r="L356" i="4" s="1"/>
  <c r="K104" i="4"/>
  <c r="K103" i="4" s="1"/>
  <c r="J18" i="4"/>
  <c r="L18" i="4" s="1"/>
  <c r="K608" i="4"/>
  <c r="J572" i="4"/>
  <c r="L572" i="4" s="1"/>
  <c r="J561" i="4"/>
  <c r="J560" i="4" s="1"/>
  <c r="J559" i="4" s="1"/>
  <c r="L559" i="4" s="1"/>
  <c r="K382" i="4"/>
  <c r="K381" i="4" s="1"/>
  <c r="K380" i="4" s="1"/>
  <c r="K379" i="4" s="1"/>
  <c r="K158" i="4"/>
  <c r="J532" i="4"/>
  <c r="L532" i="4" s="1"/>
  <c r="L526" i="4"/>
  <c r="K405" i="4"/>
  <c r="J320" i="4"/>
  <c r="L320" i="4" s="1"/>
  <c r="K303" i="4"/>
  <c r="K302" i="4" s="1"/>
  <c r="J259" i="4"/>
  <c r="L259" i="4" s="1"/>
  <c r="J243" i="4"/>
  <c r="J242" i="4" s="1"/>
  <c r="J222" i="4"/>
  <c r="L222" i="4" s="1"/>
  <c r="K166" i="4"/>
  <c r="G133" i="4"/>
  <c r="G132" i="4" s="1"/>
  <c r="G131" i="4" s="1"/>
  <c r="G128" i="4" s="1"/>
  <c r="K120" i="4"/>
  <c r="K119" i="4" s="1"/>
  <c r="K118" i="4" s="1"/>
  <c r="K117" i="4" s="1"/>
  <c r="K93" i="4"/>
  <c r="J71" i="4"/>
  <c r="L71" i="4" s="1"/>
  <c r="J606" i="4"/>
  <c r="L606" i="4" s="1"/>
  <c r="K574" i="4"/>
  <c r="J450" i="4"/>
  <c r="J421" i="4"/>
  <c r="J276" i="4"/>
  <c r="L276" i="4" s="1"/>
  <c r="J141" i="4"/>
  <c r="J140" i="4" s="1"/>
  <c r="J139" i="4" s="1"/>
  <c r="J136" i="4" s="1"/>
  <c r="K44" i="4"/>
  <c r="Q183" i="1"/>
  <c r="R183" i="1" s="1"/>
  <c r="Q192" i="1"/>
  <c r="R192" i="1" s="1"/>
  <c r="K602" i="4"/>
  <c r="K601" i="4" s="1"/>
  <c r="K600" i="4" s="1"/>
  <c r="L594" i="4"/>
  <c r="K581" i="4"/>
  <c r="J579" i="4"/>
  <c r="L579" i="4" s="1"/>
  <c r="L541" i="4"/>
  <c r="K534" i="4"/>
  <c r="K532" i="4" s="1"/>
  <c r="K531" i="4" s="1"/>
  <c r="K530" i="4" s="1"/>
  <c r="J474" i="4"/>
  <c r="L474" i="4" s="1"/>
  <c r="K451" i="4"/>
  <c r="K450" i="4" s="1"/>
  <c r="K375" i="4"/>
  <c r="K277" i="4"/>
  <c r="K276" i="4" s="1"/>
  <c r="K275" i="4" s="1"/>
  <c r="K274" i="4" s="1"/>
  <c r="K142" i="4"/>
  <c r="K141" i="4" s="1"/>
  <c r="K140" i="4" s="1"/>
  <c r="K139" i="4" s="1"/>
  <c r="K136" i="4" s="1"/>
  <c r="K78" i="4"/>
  <c r="K77" i="4" s="1"/>
  <c r="K76" i="4" s="1"/>
  <c r="K75" i="4" s="1"/>
  <c r="K65" i="4"/>
  <c r="K48" i="4"/>
  <c r="K33" i="4"/>
  <c r="L327" i="4"/>
  <c r="Q111" i="1"/>
  <c r="R111" i="1" s="1"/>
  <c r="Q103" i="1"/>
  <c r="R103" i="1" s="1"/>
  <c r="Q112" i="1"/>
  <c r="R112" i="1" s="1"/>
  <c r="Q127" i="1"/>
  <c r="R127" i="1" s="1"/>
  <c r="Q154" i="1"/>
  <c r="R154" i="1" s="1"/>
  <c r="I578" i="4"/>
  <c r="K327" i="4"/>
  <c r="K326" i="4" s="1"/>
  <c r="K325" i="4" s="1"/>
  <c r="K324" i="4" s="1"/>
  <c r="J282" i="4"/>
  <c r="L282" i="4" s="1"/>
  <c r="J203" i="4"/>
  <c r="J202" i="4" s="1"/>
  <c r="J177" i="4"/>
  <c r="J176" i="4" s="1"/>
  <c r="L176" i="4" s="1"/>
  <c r="J148" i="4"/>
  <c r="L148" i="4" s="1"/>
  <c r="J126" i="4"/>
  <c r="J125" i="4" s="1"/>
  <c r="J124" i="4" s="1"/>
  <c r="J83" i="4"/>
  <c r="L83" i="4" s="1"/>
  <c r="K17" i="4"/>
  <c r="K16" i="4" s="1"/>
  <c r="J99" i="4"/>
  <c r="L99" i="4" s="1"/>
  <c r="L604" i="4"/>
  <c r="L51" i="4"/>
  <c r="L84" i="4"/>
  <c r="L127" i="4"/>
  <c r="L339" i="4"/>
  <c r="H447" i="4"/>
  <c r="H446" i="4" s="1"/>
  <c r="L344" i="4"/>
  <c r="J304" i="4"/>
  <c r="K229" i="4"/>
  <c r="K228" i="4" s="1"/>
  <c r="K227" i="4" s="1"/>
  <c r="K226" i="4" s="1"/>
  <c r="J103" i="4"/>
  <c r="L103" i="4" s="1"/>
  <c r="K55" i="4"/>
  <c r="K50" i="4"/>
  <c r="K42" i="4"/>
  <c r="K31" i="4"/>
  <c r="L269" i="4"/>
  <c r="L22" i="4"/>
  <c r="L605" i="4"/>
  <c r="Q188" i="1"/>
  <c r="R188" i="1" s="1"/>
  <c r="Q101" i="1"/>
  <c r="R101" i="1" s="1"/>
  <c r="Q105" i="1"/>
  <c r="R105" i="1" s="1"/>
  <c r="Q122" i="1"/>
  <c r="R122" i="1" s="1"/>
  <c r="Q185" i="1"/>
  <c r="R185" i="1" s="1"/>
  <c r="Q124" i="1"/>
  <c r="R124" i="1" s="1"/>
  <c r="Q147" i="1"/>
  <c r="R147" i="1" s="1"/>
  <c r="K283" i="4"/>
  <c r="K282" i="4" s="1"/>
  <c r="K281" i="4" s="1"/>
  <c r="K280" i="4" s="1"/>
  <c r="K204" i="4"/>
  <c r="K203" i="4" s="1"/>
  <c r="K202" i="4" s="1"/>
  <c r="K201" i="4" s="1"/>
  <c r="K192" i="4" s="1"/>
  <c r="K178" i="4"/>
  <c r="K177" i="4" s="1"/>
  <c r="K176" i="4" s="1"/>
  <c r="K175" i="4" s="1"/>
  <c r="K149" i="4"/>
  <c r="K148" i="4" s="1"/>
  <c r="K147" i="4" s="1"/>
  <c r="K146" i="4" s="1"/>
  <c r="K143" i="4" s="1"/>
  <c r="K64" i="4"/>
  <c r="J61" i="4"/>
  <c r="J60" i="4" s="1"/>
  <c r="J59" i="4" s="1"/>
  <c r="K38" i="4"/>
  <c r="J368" i="4"/>
  <c r="J367" i="4" s="1"/>
  <c r="K367" i="4" s="1"/>
  <c r="K365" i="4" s="1"/>
  <c r="K363" i="4" s="1"/>
  <c r="K362" i="4" s="1"/>
  <c r="J461" i="4"/>
  <c r="L461" i="4" s="1"/>
  <c r="L462" i="4"/>
  <c r="H117" i="4"/>
  <c r="L25" i="4"/>
  <c r="K25" i="4"/>
  <c r="L49" i="4"/>
  <c r="K49" i="4"/>
  <c r="J90" i="4"/>
  <c r="L91" i="4"/>
  <c r="J106" i="4"/>
  <c r="L107" i="4"/>
  <c r="K157" i="4"/>
  <c r="L157" i="4"/>
  <c r="J156" i="4"/>
  <c r="L156" i="4" s="1"/>
  <c r="L168" i="4"/>
  <c r="K168" i="4"/>
  <c r="K211" i="4"/>
  <c r="K210" i="4" s="1"/>
  <c r="K209" i="4" s="1"/>
  <c r="K208" i="4" s="1"/>
  <c r="L211" i="4"/>
  <c r="L236" i="4"/>
  <c r="K236" i="4"/>
  <c r="L257" i="4"/>
  <c r="K257" i="4"/>
  <c r="K256" i="4" s="1"/>
  <c r="L413" i="4"/>
  <c r="J412" i="4"/>
  <c r="L412" i="4" s="1"/>
  <c r="K413" i="4"/>
  <c r="L555" i="4"/>
  <c r="J554" i="4"/>
  <c r="L576" i="4"/>
  <c r="J575" i="4"/>
  <c r="L575" i="4" s="1"/>
  <c r="K576" i="4"/>
  <c r="K575" i="4" s="1"/>
  <c r="J589" i="4"/>
  <c r="L589" i="4" s="1"/>
  <c r="L592" i="4"/>
  <c r="L603" i="4"/>
  <c r="J601" i="4"/>
  <c r="L601" i="4" s="1"/>
  <c r="K603" i="4"/>
  <c r="J210" i="4"/>
  <c r="L210" i="4" s="1"/>
  <c r="H221" i="4"/>
  <c r="H220" i="4" s="1"/>
  <c r="K91" i="4"/>
  <c r="L62" i="4"/>
  <c r="L15" i="4"/>
  <c r="K15" i="4"/>
  <c r="K14" i="4" s="1"/>
  <c r="J36" i="4"/>
  <c r="L36" i="4" s="1"/>
  <c r="L37" i="4"/>
  <c r="K46" i="4"/>
  <c r="K45" i="4" s="1"/>
  <c r="L46" i="4"/>
  <c r="J45" i="4"/>
  <c r="L45" i="4" s="1"/>
  <c r="L63" i="4"/>
  <c r="K63" i="4"/>
  <c r="L172" i="4"/>
  <c r="K172" i="4"/>
  <c r="L184" i="4"/>
  <c r="K184" i="4"/>
  <c r="K183" i="4" s="1"/>
  <c r="K182" i="4" s="1"/>
  <c r="K181" i="4" s="1"/>
  <c r="J183" i="4"/>
  <c r="L376" i="4"/>
  <c r="J374" i="4"/>
  <c r="K376" i="4"/>
  <c r="K374" i="4" s="1"/>
  <c r="K373" i="4" s="1"/>
  <c r="K372" i="4" s="1"/>
  <c r="J402" i="4"/>
  <c r="L402" i="4" s="1"/>
  <c r="K403" i="4"/>
  <c r="L403" i="4"/>
  <c r="L428" i="4"/>
  <c r="J427" i="4"/>
  <c r="L427" i="4" s="1"/>
  <c r="L463" i="4"/>
  <c r="K463" i="4"/>
  <c r="K462" i="4" s="1"/>
  <c r="K461" i="4" s="1"/>
  <c r="K460" i="4" s="1"/>
  <c r="J481" i="4"/>
  <c r="L482" i="4"/>
  <c r="J494" i="4"/>
  <c r="K525" i="4"/>
  <c r="K524" i="4" s="1"/>
  <c r="K523" i="4" s="1"/>
  <c r="K522" i="4" s="1"/>
  <c r="J524" i="4"/>
  <c r="L524" i="4" s="1"/>
  <c r="L525" i="4"/>
  <c r="L570" i="4"/>
  <c r="J569" i="4"/>
  <c r="L569" i="4" s="1"/>
  <c r="K570" i="4"/>
  <c r="K569" i="4" s="1"/>
  <c r="K583" i="4"/>
  <c r="K582" i="4" s="1"/>
  <c r="L583" i="4"/>
  <c r="L611" i="4"/>
  <c r="K611" i="4"/>
  <c r="K610" i="4" s="1"/>
  <c r="K609" i="4" s="1"/>
  <c r="J610" i="4"/>
  <c r="J14" i="4"/>
  <c r="L14" i="4" s="1"/>
  <c r="J164" i="4"/>
  <c r="L164" i="4" s="1"/>
  <c r="J337" i="4"/>
  <c r="L337" i="4" s="1"/>
  <c r="L338" i="4"/>
  <c r="H389" i="4"/>
  <c r="H388" i="4" s="1"/>
  <c r="J256" i="4"/>
  <c r="L256" i="4" s="1"/>
  <c r="K107" i="4"/>
  <c r="K106" i="4" s="1"/>
  <c r="K105" i="4" s="1"/>
  <c r="K114" i="4"/>
  <c r="K113" i="4" s="1"/>
  <c r="K112" i="4" s="1"/>
  <c r="K111" i="4" s="1"/>
  <c r="K72" i="4"/>
  <c r="K71" i="4" s="1"/>
  <c r="K70" i="4" s="1"/>
  <c r="K69" i="4" s="1"/>
  <c r="J53" i="4"/>
  <c r="L53" i="4" s="1"/>
  <c r="J47" i="4"/>
  <c r="L47" i="4" s="1"/>
  <c r="K34" i="4"/>
  <c r="J16" i="4"/>
  <c r="L16" i="4" s="1"/>
  <c r="J21" i="4"/>
  <c r="L21" i="4" s="1"/>
  <c r="J197" i="4"/>
  <c r="L198" i="4"/>
  <c r="K345" i="4"/>
  <c r="K344" i="4" s="1"/>
  <c r="K343" i="4" s="1"/>
  <c r="K342" i="4" s="1"/>
  <c r="L345" i="4"/>
  <c r="L384" i="4"/>
  <c r="J383" i="4"/>
  <c r="L383" i="4" s="1"/>
  <c r="L39" i="4"/>
  <c r="L217" i="4"/>
  <c r="L258" i="4"/>
  <c r="K191" i="4"/>
  <c r="K190" i="4" s="1"/>
  <c r="K189" i="4" s="1"/>
  <c r="K188" i="4" s="1"/>
  <c r="K185" i="4" s="1"/>
  <c r="L191" i="4"/>
  <c r="J235" i="4"/>
  <c r="J234" i="4" s="1"/>
  <c r="L40" i="4"/>
  <c r="L483" i="4"/>
  <c r="J468" i="4"/>
  <c r="J381" i="4"/>
  <c r="Q189" i="1"/>
  <c r="R189" i="1" s="1"/>
  <c r="K414" i="4"/>
  <c r="K407" i="4"/>
  <c r="K359" i="4"/>
  <c r="K358" i="4" s="1"/>
  <c r="J325" i="4"/>
  <c r="L325" i="4" s="1"/>
  <c r="L326" i="4"/>
  <c r="J295" i="4"/>
  <c r="L295" i="4" s="1"/>
  <c r="J216" i="4"/>
  <c r="J215" i="4" s="1"/>
  <c r="J214" i="4" s="1"/>
  <c r="L214" i="4" s="1"/>
  <c r="J190" i="4"/>
  <c r="L190" i="4" s="1"/>
  <c r="K24" i="4"/>
  <c r="J250" i="4"/>
  <c r="L251" i="4"/>
  <c r="K261" i="4"/>
  <c r="L261" i="4"/>
  <c r="J350" i="4"/>
  <c r="L351" i="4"/>
  <c r="K397" i="4"/>
  <c r="K396" i="4" s="1"/>
  <c r="K395" i="4" s="1"/>
  <c r="K394" i="4" s="1"/>
  <c r="L397" i="4"/>
  <c r="H578" i="4"/>
  <c r="L19" i="4"/>
  <c r="L54" i="4"/>
  <c r="L43" i="4"/>
  <c r="L32" i="4"/>
  <c r="L169" i="4"/>
  <c r="L267" i="4"/>
  <c r="J289" i="4"/>
  <c r="L290" i="4"/>
  <c r="L268" i="4"/>
  <c r="J504" i="4"/>
  <c r="L504" i="4" s="1"/>
  <c r="L66" i="4"/>
  <c r="K237" i="4"/>
  <c r="L237" i="4"/>
  <c r="K489" i="4"/>
  <c r="K488" i="4" s="1"/>
  <c r="K487" i="4" s="1"/>
  <c r="K486" i="4" s="1"/>
  <c r="J488" i="4"/>
  <c r="K270" i="4"/>
  <c r="K269" i="4" s="1"/>
  <c r="L270" i="4"/>
  <c r="I362" i="4"/>
  <c r="K41" i="4"/>
  <c r="J30" i="4"/>
  <c r="L30" i="4" s="1"/>
  <c r="K23" i="4"/>
  <c r="H426" i="4"/>
  <c r="H425" i="4" s="1"/>
  <c r="I301" i="4"/>
  <c r="I300" i="4" s="1"/>
  <c r="I588" i="4"/>
  <c r="I587" i="4" s="1"/>
  <c r="G108" i="4"/>
  <c r="G271" i="4"/>
  <c r="I98" i="4"/>
  <c r="I97" i="4" s="1"/>
  <c r="I94" i="4" s="1"/>
  <c r="G412" i="4"/>
  <c r="G411" i="4" s="1"/>
  <c r="G410" i="4" s="1"/>
  <c r="G47" i="4"/>
  <c r="F600" i="4"/>
  <c r="F599" i="4" s="1"/>
  <c r="F596" i="4" s="1"/>
  <c r="H600" i="4"/>
  <c r="H418" i="4"/>
  <c r="H417" i="4" s="1"/>
  <c r="H500" i="4"/>
  <c r="H499" i="4" s="1"/>
  <c r="G374" i="4"/>
  <c r="G373" i="4" s="1"/>
  <c r="G372" i="4" s="1"/>
  <c r="F271" i="4"/>
  <c r="F164" i="4"/>
  <c r="F163" i="4" s="1"/>
  <c r="F156" i="4" s="1"/>
  <c r="F155" i="4" s="1"/>
  <c r="F154" i="4" s="1"/>
  <c r="F150" i="4" s="1"/>
  <c r="I76" i="4"/>
  <c r="I75" i="4" s="1"/>
  <c r="H60" i="4"/>
  <c r="H59" i="4" s="1"/>
  <c r="G402" i="4"/>
  <c r="G401" i="4" s="1"/>
  <c r="G400" i="4" s="1"/>
  <c r="F355" i="4"/>
  <c r="F354" i="4" s="1"/>
  <c r="G355" i="4"/>
  <c r="G354" i="4" s="1"/>
  <c r="I176" i="4"/>
  <c r="I175" i="4" s="1"/>
  <c r="H380" i="4"/>
  <c r="H379" i="4" s="1"/>
  <c r="H362" i="4"/>
  <c r="H140" i="4"/>
  <c r="H112" i="4"/>
  <c r="H111" i="4" s="1"/>
  <c r="I271" i="4"/>
  <c r="G164" i="4"/>
  <c r="G163" i="4" s="1"/>
  <c r="G156" i="4" s="1"/>
  <c r="G155" i="4" s="1"/>
  <c r="G154" i="4" s="1"/>
  <c r="G150" i="4" s="1"/>
  <c r="I266" i="4"/>
  <c r="I265" i="4" s="1"/>
  <c r="F29" i="4"/>
  <c r="F28" i="4" s="1"/>
  <c r="G494" i="4"/>
  <c r="G493" i="4" s="1"/>
  <c r="G492" i="4" s="1"/>
  <c r="I163" i="4"/>
  <c r="I162" i="4" s="1"/>
  <c r="F588" i="4"/>
  <c r="F587" i="4" s="1"/>
  <c r="H531" i="4"/>
  <c r="H530" i="4" s="1"/>
  <c r="I500" i="4"/>
  <c r="I499" i="4" s="1"/>
  <c r="G447" i="4"/>
  <c r="G446" i="4" s="1"/>
  <c r="F301" i="4"/>
  <c r="F300" i="4" s="1"/>
  <c r="F255" i="4"/>
  <c r="F254" i="4" s="1"/>
  <c r="F245" i="4" s="1"/>
  <c r="I182" i="4"/>
  <c r="I181" i="4" s="1"/>
  <c r="E29" i="4"/>
  <c r="E28" i="4" s="1"/>
  <c r="E9" i="4" s="1"/>
  <c r="F13" i="4"/>
  <c r="F12" i="4" s="1"/>
  <c r="F578" i="4"/>
  <c r="H523" i="4"/>
  <c r="H522" i="4" s="1"/>
  <c r="I355" i="4"/>
  <c r="I354" i="4" s="1"/>
  <c r="H189" i="4"/>
  <c r="H188" i="4" s="1"/>
  <c r="H185" i="4" s="1"/>
  <c r="I411" i="4"/>
  <c r="I410" i="4" s="1"/>
  <c r="I288" i="4"/>
  <c r="I287" i="4" s="1"/>
  <c r="I196" i="4"/>
  <c r="I195" i="4" s="1"/>
  <c r="I192" i="4" s="1"/>
  <c r="F98" i="4"/>
  <c r="F97" i="4" s="1"/>
  <c r="F94" i="4" s="1"/>
  <c r="G30" i="4"/>
  <c r="H588" i="4"/>
  <c r="H587" i="4" s="1"/>
  <c r="F568" i="4"/>
  <c r="I473" i="4"/>
  <c r="G192" i="4"/>
  <c r="G61" i="4"/>
  <c r="G60" i="4" s="1"/>
  <c r="G59" i="4" s="1"/>
  <c r="G36" i="4"/>
  <c r="H473" i="4"/>
  <c r="H472" i="4" s="1"/>
  <c r="H355" i="4"/>
  <c r="H354" i="4" s="1"/>
  <c r="F308" i="4"/>
  <c r="J266" i="4"/>
  <c r="F266" i="4"/>
  <c r="F265" i="4" s="1"/>
  <c r="F262" i="4" s="1"/>
  <c r="G235" i="4"/>
  <c r="G234" i="4" s="1"/>
  <c r="G233" i="4" s="1"/>
  <c r="G205" i="4" s="1"/>
  <c r="K102" i="4"/>
  <c r="K101" i="4" s="1"/>
  <c r="I29" i="4"/>
  <c r="I13" i="4"/>
  <c r="I12" i="4" s="1"/>
  <c r="G310" i="4"/>
  <c r="G309" i="4" s="1"/>
  <c r="G308" i="4" s="1"/>
  <c r="H284" i="4"/>
  <c r="G259" i="4"/>
  <c r="H255" i="4"/>
  <c r="H254" i="4" s="1"/>
  <c r="H245" i="4" s="1"/>
  <c r="H29" i="4"/>
  <c r="H28" i="4" s="1"/>
  <c r="H13" i="4"/>
  <c r="G588" i="4"/>
  <c r="G587" i="4" s="1"/>
  <c r="G578" i="4"/>
  <c r="G568" i="4"/>
  <c r="I523" i="4"/>
  <c r="I418" i="4"/>
  <c r="G600" i="4"/>
  <c r="G599" i="4" s="1"/>
  <c r="G596" i="4" s="1"/>
  <c r="H486" i="4"/>
  <c r="I467" i="4"/>
  <c r="I455" i="4"/>
  <c r="L456" i="4"/>
  <c r="I426" i="4"/>
  <c r="I389" i="4"/>
  <c r="F385" i="4"/>
  <c r="I331" i="4"/>
  <c r="I479" i="4"/>
  <c r="I372" i="4"/>
  <c r="I348" i="4"/>
  <c r="G301" i="4"/>
  <c r="G300" i="4" s="1"/>
  <c r="H609" i="4"/>
  <c r="I600" i="4"/>
  <c r="I568" i="4"/>
  <c r="I538" i="4"/>
  <c r="H494" i="4"/>
  <c r="H493" i="4" s="1"/>
  <c r="H492" i="4" s="1"/>
  <c r="J343" i="4"/>
  <c r="L343" i="4" s="1"/>
  <c r="I308" i="4"/>
  <c r="G266" i="4"/>
  <c r="G265" i="4" s="1"/>
  <c r="G262" i="4" s="1"/>
  <c r="F205" i="4"/>
  <c r="E589" i="4"/>
  <c r="H568" i="4"/>
  <c r="I460" i="4"/>
  <c r="H374" i="4"/>
  <c r="H373" i="4" s="1"/>
  <c r="H372" i="4" s="1"/>
  <c r="I324" i="4"/>
  <c r="H313" i="4"/>
  <c r="L313" i="4" s="1"/>
  <c r="L314" i="4"/>
  <c r="H309" i="4"/>
  <c r="G284" i="4"/>
  <c r="I447" i="4"/>
  <c r="I401" i="4"/>
  <c r="I343" i="4"/>
  <c r="I319" i="4"/>
  <c r="H301" i="4"/>
  <c r="H300" i="4" s="1"/>
  <c r="I294" i="4"/>
  <c r="H266" i="4"/>
  <c r="H265" i="4" s="1"/>
  <c r="H262" i="4" s="1"/>
  <c r="F192" i="4"/>
  <c r="H155" i="4"/>
  <c r="H154" i="4" s="1"/>
  <c r="J364" i="4"/>
  <c r="L364" i="4" s="1"/>
  <c r="H281" i="4"/>
  <c r="H275" i="4"/>
  <c r="F284" i="4"/>
  <c r="I227" i="4"/>
  <c r="I209" i="4"/>
  <c r="I133" i="4"/>
  <c r="G256" i="4"/>
  <c r="I255" i="4"/>
  <c r="I249" i="4"/>
  <c r="I241" i="4"/>
  <c r="I220" i="4"/>
  <c r="H196" i="4"/>
  <c r="H182" i="4"/>
  <c r="H175" i="4"/>
  <c r="I143" i="4"/>
  <c r="I52" i="4"/>
  <c r="I188" i="4"/>
  <c r="I154" i="4"/>
  <c r="I69" i="4"/>
  <c r="I140" i="4"/>
  <c r="I118" i="4"/>
  <c r="I112" i="4"/>
  <c r="F108" i="4"/>
  <c r="H147" i="4"/>
  <c r="H146" i="4" s="1"/>
  <c r="H143" i="4" s="1"/>
  <c r="H125" i="4"/>
  <c r="H124" i="4" s="1"/>
  <c r="H121" i="4" s="1"/>
  <c r="G98" i="4"/>
  <c r="G97" i="4" s="1"/>
  <c r="G94" i="4" s="1"/>
  <c r="G13" i="4"/>
  <c r="I89" i="4"/>
  <c r="G53" i="4"/>
  <c r="G52" i="4" s="1"/>
  <c r="H98" i="4"/>
  <c r="H97" i="4" s="1"/>
  <c r="H94" i="4" s="1"/>
  <c r="G90" i="4"/>
  <c r="G89" i="4" s="1"/>
  <c r="G88" i="4" s="1"/>
  <c r="G85" i="4" s="1"/>
  <c r="I81" i="4"/>
  <c r="I59" i="4"/>
  <c r="H20" i="4"/>
  <c r="G21" i="4"/>
  <c r="G20" i="4" s="1"/>
  <c r="P110" i="1"/>
  <c r="O110" i="1"/>
  <c r="P194" i="1"/>
  <c r="O194" i="1"/>
  <c r="O170" i="1"/>
  <c r="P126" i="1"/>
  <c r="P123" i="1"/>
  <c r="P120" i="1"/>
  <c r="P118" i="1"/>
  <c r="P117" i="1"/>
  <c r="P116" i="1"/>
  <c r="P115" i="1"/>
  <c r="P114" i="1"/>
  <c r="P109" i="1"/>
  <c r="O114" i="1"/>
  <c r="P155" i="1"/>
  <c r="O155" i="1"/>
  <c r="O115" i="1"/>
  <c r="L495" i="4" l="1"/>
  <c r="J395" i="4"/>
  <c r="K495" i="4"/>
  <c r="K494" i="4" s="1"/>
  <c r="K493" i="4" s="1"/>
  <c r="K492" i="4" s="1"/>
  <c r="K447" i="4"/>
  <c r="K446" i="4" s="1"/>
  <c r="L234" i="4"/>
  <c r="H205" i="4"/>
  <c r="L119" i="4"/>
  <c r="Q115" i="1"/>
  <c r="R115" i="1" s="1"/>
  <c r="L513" i="4"/>
  <c r="J70" i="4"/>
  <c r="J69" i="4" s="1"/>
  <c r="L67" i="4" s="1"/>
  <c r="L517" i="4"/>
  <c r="J163" i="4"/>
  <c r="L163" i="4" s="1"/>
  <c r="Q114" i="1"/>
  <c r="R114" i="1" s="1"/>
  <c r="L507" i="4"/>
  <c r="L506" i="4" s="1"/>
  <c r="K310" i="4"/>
  <c r="K309" i="4" s="1"/>
  <c r="K308" i="4" s="1"/>
  <c r="J418" i="4"/>
  <c r="J417" i="4" s="1"/>
  <c r="L415" i="4" s="1"/>
  <c r="J227" i="4"/>
  <c r="L227" i="4" s="1"/>
  <c r="L421" i="4"/>
  <c r="L113" i="4"/>
  <c r="J336" i="4"/>
  <c r="L334" i="4" s="1"/>
  <c r="K259" i="4"/>
  <c r="K255" i="4" s="1"/>
  <c r="K254" i="4" s="1"/>
  <c r="K245" i="4" s="1"/>
  <c r="L118" i="4"/>
  <c r="L390" i="4"/>
  <c r="L115" i="4"/>
  <c r="K156" i="4"/>
  <c r="K155" i="4" s="1"/>
  <c r="K154" i="4" s="1"/>
  <c r="K588" i="4"/>
  <c r="K587" i="4" s="1"/>
  <c r="K266" i="4"/>
  <c r="K265" i="4" s="1"/>
  <c r="K262" i="4" s="1"/>
  <c r="L386" i="4"/>
  <c r="J578" i="4"/>
  <c r="L578" i="4" s="1"/>
  <c r="K61" i="4"/>
  <c r="K60" i="4" s="1"/>
  <c r="K59" i="4" s="1"/>
  <c r="K271" i="4"/>
  <c r="K355" i="4"/>
  <c r="K354" i="4" s="1"/>
  <c r="L141" i="4"/>
  <c r="J447" i="4"/>
  <c r="L447" i="4" s="1"/>
  <c r="K98" i="4"/>
  <c r="K97" i="4" s="1"/>
  <c r="K94" i="4" s="1"/>
  <c r="J294" i="4"/>
  <c r="J293" i="4" s="1"/>
  <c r="L291" i="4" s="1"/>
  <c r="L561" i="4"/>
  <c r="K90" i="4"/>
  <c r="K89" i="4" s="1"/>
  <c r="K88" i="4" s="1"/>
  <c r="K85" i="4" s="1"/>
  <c r="J209" i="4"/>
  <c r="L209" i="4" s="1"/>
  <c r="H567" i="4"/>
  <c r="H564" i="4" s="1"/>
  <c r="J301" i="4"/>
  <c r="L301" i="4" s="1"/>
  <c r="L304" i="4"/>
  <c r="L450" i="4"/>
  <c r="J411" i="4"/>
  <c r="L411" i="4" s="1"/>
  <c r="J319" i="4"/>
  <c r="L319" i="4" s="1"/>
  <c r="J460" i="4"/>
  <c r="K235" i="4"/>
  <c r="K234" i="4" s="1"/>
  <c r="K233" i="4" s="1"/>
  <c r="K205" i="4" s="1"/>
  <c r="K47" i="4"/>
  <c r="J175" i="4"/>
  <c r="L173" i="4" s="1"/>
  <c r="J221" i="4"/>
  <c r="J220" i="4" s="1"/>
  <c r="L220" i="4" s="1"/>
  <c r="L177" i="4"/>
  <c r="L203" i="4"/>
  <c r="J75" i="4"/>
  <c r="L73" i="4" s="1"/>
  <c r="J568" i="4"/>
  <c r="L77" i="4"/>
  <c r="J531" i="4"/>
  <c r="L531" i="4" s="1"/>
  <c r="J355" i="4"/>
  <c r="J354" i="4" s="1"/>
  <c r="L352" i="4" s="1"/>
  <c r="L332" i="4"/>
  <c r="K164" i="4"/>
  <c r="K163" i="4" s="1"/>
  <c r="K162" i="4" s="1"/>
  <c r="K578" i="4"/>
  <c r="K301" i="4"/>
  <c r="K300" i="4" s="1"/>
  <c r="J538" i="4"/>
  <c r="J537" i="4" s="1"/>
  <c r="L537" i="4" s="1"/>
  <c r="K30" i="4"/>
  <c r="L124" i="4"/>
  <c r="K108" i="4"/>
  <c r="J473" i="4"/>
  <c r="J472" i="4" s="1"/>
  <c r="L470" i="4" s="1"/>
  <c r="K36" i="4"/>
  <c r="J309" i="4"/>
  <c r="J308" i="4" s="1"/>
  <c r="J255" i="4"/>
  <c r="J254" i="4" s="1"/>
  <c r="L252" i="4" s="1"/>
  <c r="K568" i="4"/>
  <c r="K412" i="4"/>
  <c r="K411" i="4" s="1"/>
  <c r="K410" i="4" s="1"/>
  <c r="G255" i="4"/>
  <c r="G254" i="4" s="1"/>
  <c r="G245" i="4" s="1"/>
  <c r="J275" i="4"/>
  <c r="J274" i="4" s="1"/>
  <c r="J362" i="4"/>
  <c r="L362" i="4" s="1"/>
  <c r="J147" i="4"/>
  <c r="J146" i="4" s="1"/>
  <c r="L144" i="4" s="1"/>
  <c r="L243" i="4"/>
  <c r="K13" i="4"/>
  <c r="K53" i="4"/>
  <c r="K52" i="4" s="1"/>
  <c r="L242" i="4"/>
  <c r="J241" i="4"/>
  <c r="L241" i="4" s="1"/>
  <c r="J281" i="4"/>
  <c r="L281" i="4" s="1"/>
  <c r="Q155" i="1"/>
  <c r="R155" i="1" s="1"/>
  <c r="Q110" i="1"/>
  <c r="R110" i="1" s="1"/>
  <c r="H108" i="4"/>
  <c r="J500" i="4"/>
  <c r="J499" i="4" s="1"/>
  <c r="K21" i="4"/>
  <c r="K20" i="4" s="1"/>
  <c r="L61" i="4"/>
  <c r="L560" i="4"/>
  <c r="Q125" i="1"/>
  <c r="R125" i="1" s="1"/>
  <c r="F567" i="4"/>
  <c r="F564" i="4" s="1"/>
  <c r="J13" i="4"/>
  <c r="L13" i="4" s="1"/>
  <c r="L389" i="4"/>
  <c r="L126" i="4"/>
  <c r="J189" i="4"/>
  <c r="L189" i="4" s="1"/>
  <c r="J82" i="4"/>
  <c r="L82" i="4" s="1"/>
  <c r="L125" i="4"/>
  <c r="K402" i="4"/>
  <c r="K401" i="4" s="1"/>
  <c r="K400" i="4" s="1"/>
  <c r="J201" i="4"/>
  <c r="L199" i="4" s="1"/>
  <c r="L202" i="4"/>
  <c r="Q194" i="1"/>
  <c r="R194" i="1" s="1"/>
  <c r="L367" i="4"/>
  <c r="L368" i="4"/>
  <c r="J288" i="4"/>
  <c r="L289" i="4"/>
  <c r="J553" i="4"/>
  <c r="L554" i="4"/>
  <c r="L57" i="4"/>
  <c r="J105" i="4"/>
  <c r="L105" i="4" s="1"/>
  <c r="L106" i="4"/>
  <c r="J29" i="4"/>
  <c r="L29" i="4" s="1"/>
  <c r="J233" i="4"/>
  <c r="L233" i="4" s="1"/>
  <c r="J394" i="4"/>
  <c r="L392" i="4" s="1"/>
  <c r="L395" i="4"/>
  <c r="J588" i="4"/>
  <c r="H139" i="4"/>
  <c r="L140" i="4"/>
  <c r="K599" i="4"/>
  <c r="K596" i="4" s="1"/>
  <c r="L215" i="4"/>
  <c r="L235" i="4"/>
  <c r="J111" i="4"/>
  <c r="L112" i="4"/>
  <c r="L481" i="4"/>
  <c r="J480" i="4"/>
  <c r="J467" i="4"/>
  <c r="L468" i="4"/>
  <c r="J20" i="4"/>
  <c r="L20" i="4" s="1"/>
  <c r="L381" i="4"/>
  <c r="J380" i="4"/>
  <c r="L380" i="4" s="1"/>
  <c r="J330" i="4"/>
  <c r="L328" i="4" s="1"/>
  <c r="L331" i="4"/>
  <c r="J182" i="4"/>
  <c r="L183" i="4"/>
  <c r="J52" i="4"/>
  <c r="L52" i="4" s="1"/>
  <c r="J523" i="4"/>
  <c r="L523" i="4" s="1"/>
  <c r="J401" i="4"/>
  <c r="L401" i="4" s="1"/>
  <c r="J324" i="4"/>
  <c r="L322" i="4" s="1"/>
  <c r="J600" i="4"/>
  <c r="L600" i="4" s="1"/>
  <c r="J426" i="4"/>
  <c r="J155" i="4"/>
  <c r="J154" i="4" s="1"/>
  <c r="L154" i="4" s="1"/>
  <c r="G385" i="4"/>
  <c r="L216" i="4"/>
  <c r="J349" i="4"/>
  <c r="L350" i="4"/>
  <c r="J249" i="4"/>
  <c r="L250" i="4"/>
  <c r="J196" i="4"/>
  <c r="L197" i="4"/>
  <c r="J609" i="4"/>
  <c r="L609" i="4" s="1"/>
  <c r="L610" i="4"/>
  <c r="J493" i="4"/>
  <c r="L494" i="4"/>
  <c r="J373" i="4"/>
  <c r="L374" i="4"/>
  <c r="L60" i="4"/>
  <c r="J89" i="4"/>
  <c r="L90" i="4"/>
  <c r="J487" i="4"/>
  <c r="L488" i="4"/>
  <c r="J265" i="4"/>
  <c r="L263" i="4" s="1"/>
  <c r="L266" i="4"/>
  <c r="F9" i="4"/>
  <c r="J101" i="4"/>
  <c r="G29" i="4"/>
  <c r="G28" i="4" s="1"/>
  <c r="I28" i="4"/>
  <c r="F297" i="4"/>
  <c r="H12" i="4"/>
  <c r="H9" i="4" s="1"/>
  <c r="G437" i="4"/>
  <c r="G297" i="4"/>
  <c r="G12" i="4"/>
  <c r="I472" i="4"/>
  <c r="I88" i="4"/>
  <c r="J121" i="4"/>
  <c r="L121" i="4" s="1"/>
  <c r="I132" i="4"/>
  <c r="I342" i="4"/>
  <c r="I400" i="4"/>
  <c r="I385" i="4" s="1"/>
  <c r="I446" i="4"/>
  <c r="I262" i="4"/>
  <c r="I599" i="4"/>
  <c r="I330" i="4"/>
  <c r="I522" i="4"/>
  <c r="I139" i="4"/>
  <c r="I185" i="4"/>
  <c r="I248" i="4"/>
  <c r="I537" i="4"/>
  <c r="H599" i="4"/>
  <c r="H596" i="4" s="1"/>
  <c r="H181" i="4"/>
  <c r="I238" i="4"/>
  <c r="I226" i="4"/>
  <c r="I117" i="4"/>
  <c r="H195" i="4"/>
  <c r="I254" i="4"/>
  <c r="H280" i="4"/>
  <c r="I293" i="4"/>
  <c r="I318" i="4"/>
  <c r="J342" i="4"/>
  <c r="L340" i="4" s="1"/>
  <c r="I567" i="4"/>
  <c r="I388" i="4"/>
  <c r="I417" i="4"/>
  <c r="I111" i="4"/>
  <c r="I150" i="4"/>
  <c r="I208" i="4"/>
  <c r="H274" i="4"/>
  <c r="H308" i="4"/>
  <c r="I425" i="4"/>
  <c r="I454" i="4"/>
  <c r="L452" i="4" s="1"/>
  <c r="L455" i="4"/>
  <c r="I466" i="4"/>
  <c r="G567" i="4"/>
  <c r="G564" i="4" s="1"/>
  <c r="P113" i="1"/>
  <c r="P108" i="1"/>
  <c r="K437" i="4" l="1"/>
  <c r="L458" i="4"/>
  <c r="J162" i="4"/>
  <c r="L160" i="4" s="1"/>
  <c r="L221" i="4"/>
  <c r="L70" i="4"/>
  <c r="L418" i="4"/>
  <c r="L255" i="4"/>
  <c r="L497" i="4"/>
  <c r="K150" i="4"/>
  <c r="J446" i="4"/>
  <c r="L444" i="4" s="1"/>
  <c r="L294" i="4"/>
  <c r="J208" i="4"/>
  <c r="L208" i="4" s="1"/>
  <c r="J226" i="4"/>
  <c r="L224" i="4" s="1"/>
  <c r="J280" i="4"/>
  <c r="L278" i="4" s="1"/>
  <c r="L275" i="4"/>
  <c r="J567" i="4"/>
  <c r="L565" i="4" s="1"/>
  <c r="K12" i="4"/>
  <c r="K29" i="4"/>
  <c r="K28" i="4" s="1"/>
  <c r="L568" i="4"/>
  <c r="L538" i="4"/>
  <c r="J599" i="4"/>
  <c r="L597" i="4" s="1"/>
  <c r="K297" i="4"/>
  <c r="J300" i="4"/>
  <c r="L298" i="4" s="1"/>
  <c r="K567" i="4"/>
  <c r="K564" i="4" s="1"/>
  <c r="L355" i="4"/>
  <c r="L147" i="4"/>
  <c r="J143" i="4"/>
  <c r="L143" i="4" s="1"/>
  <c r="J410" i="4"/>
  <c r="L408" i="4" s="1"/>
  <c r="J318" i="4"/>
  <c r="L316" i="4" s="1"/>
  <c r="J530" i="4"/>
  <c r="L528" i="4" s="1"/>
  <c r="L500" i="4"/>
  <c r="L473" i="4"/>
  <c r="J188" i="4"/>
  <c r="L186" i="4" s="1"/>
  <c r="J238" i="4"/>
  <c r="L238" i="4" s="1"/>
  <c r="J12" i="4"/>
  <c r="L10" i="4" s="1"/>
  <c r="L309" i="4"/>
  <c r="J262" i="4"/>
  <c r="L262" i="4" s="1"/>
  <c r="J522" i="4"/>
  <c r="L520" i="4" s="1"/>
  <c r="K385" i="4"/>
  <c r="J379" i="4"/>
  <c r="L379" i="4" s="1"/>
  <c r="J400" i="4"/>
  <c r="L398" i="4" s="1"/>
  <c r="J81" i="4"/>
  <c r="L79" i="4" s="1"/>
  <c r="F615" i="4"/>
  <c r="F8" i="4" s="1"/>
  <c r="F7" i="4" s="1"/>
  <c r="L272" i="4"/>
  <c r="J492" i="4"/>
  <c r="L492" i="4" s="1"/>
  <c r="L493" i="4"/>
  <c r="J466" i="4"/>
  <c r="L464" i="4" s="1"/>
  <c r="L467" i="4"/>
  <c r="L349" i="4"/>
  <c r="J348" i="4"/>
  <c r="L346" i="4" s="1"/>
  <c r="L155" i="4"/>
  <c r="J372" i="4"/>
  <c r="L372" i="4" s="1"/>
  <c r="L373" i="4"/>
  <c r="J425" i="4"/>
  <c r="L425" i="4" s="1"/>
  <c r="L426" i="4"/>
  <c r="J181" i="4"/>
  <c r="L179" i="4" s="1"/>
  <c r="L182" i="4"/>
  <c r="L111" i="4"/>
  <c r="J108" i="4"/>
  <c r="L108" i="4" s="1"/>
  <c r="J587" i="4"/>
  <c r="L585" i="4" s="1"/>
  <c r="L588" i="4"/>
  <c r="J195" i="4"/>
  <c r="L196" i="4"/>
  <c r="H136" i="4"/>
  <c r="L136" i="4" s="1"/>
  <c r="L137" i="4"/>
  <c r="L288" i="4"/>
  <c r="J287" i="4"/>
  <c r="L306" i="4"/>
  <c r="J28" i="4"/>
  <c r="L26" i="4" s="1"/>
  <c r="J98" i="4"/>
  <c r="L101" i="4"/>
  <c r="L89" i="4"/>
  <c r="J88" i="4"/>
  <c r="L249" i="4"/>
  <c r="J248" i="4"/>
  <c r="J479" i="4"/>
  <c r="L477" i="4" s="1"/>
  <c r="L480" i="4"/>
  <c r="J552" i="4"/>
  <c r="J549" i="4" s="1"/>
  <c r="L549" i="4" s="1"/>
  <c r="L553" i="4"/>
  <c r="L487" i="4"/>
  <c r="J486" i="4"/>
  <c r="L484" i="4" s="1"/>
  <c r="I205" i="4"/>
  <c r="I9" i="4"/>
  <c r="G9" i="4"/>
  <c r="G615" i="4" s="1"/>
  <c r="G8" i="4" s="1"/>
  <c r="G7" i="4" s="1"/>
  <c r="I297" i="4"/>
  <c r="H271" i="4"/>
  <c r="I136" i="4"/>
  <c r="H297" i="4"/>
  <c r="I131" i="4"/>
  <c r="I564" i="4"/>
  <c r="H150" i="4"/>
  <c r="H192" i="4"/>
  <c r="I245" i="4"/>
  <c r="I108" i="4"/>
  <c r="I85" i="4"/>
  <c r="I284" i="4"/>
  <c r="J133" i="4"/>
  <c r="L133" i="4" s="1"/>
  <c r="K134" i="4"/>
  <c r="K133" i="4" s="1"/>
  <c r="K132" i="4" s="1"/>
  <c r="K131" i="4" s="1"/>
  <c r="K128" i="4" s="1"/>
  <c r="I596" i="4"/>
  <c r="Q218" i="1"/>
  <c r="Q217" i="1" s="1"/>
  <c r="Q211" i="1"/>
  <c r="Q209" i="1"/>
  <c r="Q206" i="1"/>
  <c r="Q205" i="1" s="1"/>
  <c r="Q202" i="1"/>
  <c r="Q201" i="1" s="1"/>
  <c r="Q199" i="1"/>
  <c r="Q198" i="1" s="1"/>
  <c r="Q193" i="1"/>
  <c r="Q167" i="1"/>
  <c r="Q164" i="1"/>
  <c r="Q138" i="1"/>
  <c r="Q102" i="1"/>
  <c r="Q100" i="1"/>
  <c r="Q95" i="1"/>
  <c r="Q92" i="1"/>
  <c r="Q89" i="1"/>
  <c r="Q84" i="1"/>
  <c r="Q80" i="1"/>
  <c r="Q76" i="1"/>
  <c r="Q68" i="1"/>
  <c r="Q65" i="1"/>
  <c r="Q61" i="1"/>
  <c r="Q55" i="1"/>
  <c r="Q51" i="1"/>
  <c r="Q48" i="1"/>
  <c r="Q40" i="1"/>
  <c r="I615" i="4" l="1"/>
  <c r="J385" i="4"/>
  <c r="L437" i="4"/>
  <c r="J271" i="4"/>
  <c r="L271" i="4" s="1"/>
  <c r="J205" i="4"/>
  <c r="L205" i="4" s="1"/>
  <c r="J596" i="4"/>
  <c r="L596" i="4" s="1"/>
  <c r="K9" i="4"/>
  <c r="K615" i="4" s="1"/>
  <c r="K8" i="4" s="1"/>
  <c r="K7" i="4" s="1"/>
  <c r="J185" i="4"/>
  <c r="L185" i="4" s="1"/>
  <c r="J9" i="4"/>
  <c r="L9" i="4" s="1"/>
  <c r="L385" i="4"/>
  <c r="L285" i="4"/>
  <c r="J284" i="4"/>
  <c r="L284" i="4" s="1"/>
  <c r="L86" i="4"/>
  <c r="J85" i="4"/>
  <c r="L85" i="4" s="1"/>
  <c r="L552" i="4"/>
  <c r="J97" i="4"/>
  <c r="L98" i="4"/>
  <c r="L193" i="4"/>
  <c r="J192" i="4"/>
  <c r="L192" i="4" s="1"/>
  <c r="J297" i="4"/>
  <c r="L297" i="4" s="1"/>
  <c r="J564" i="4"/>
  <c r="L564" i="4" s="1"/>
  <c r="J150" i="4"/>
  <c r="L246" i="4"/>
  <c r="J245" i="4"/>
  <c r="L245" i="4" s="1"/>
  <c r="J132" i="4"/>
  <c r="L132" i="4" s="1"/>
  <c r="H615" i="4"/>
  <c r="H8" i="4" s="1"/>
  <c r="H7" i="4" s="1"/>
  <c r="I128" i="4"/>
  <c r="Q94" i="1"/>
  <c r="Q88" i="1"/>
  <c r="Q91" i="1"/>
  <c r="Q216" i="1"/>
  <c r="Q64" i="1"/>
  <c r="Q197" i="1"/>
  <c r="Q23" i="1" s="1"/>
  <c r="Q75" i="1"/>
  <c r="Q208" i="1"/>
  <c r="Q204" i="1" s="1"/>
  <c r="Q24" i="1" s="1"/>
  <c r="Q104" i="1"/>
  <c r="Q39" i="1"/>
  <c r="Q153" i="1"/>
  <c r="Q54" i="1"/>
  <c r="P218" i="1"/>
  <c r="P217" i="1" s="1"/>
  <c r="P211" i="1"/>
  <c r="P209" i="1"/>
  <c r="P206" i="1"/>
  <c r="P205" i="1" s="1"/>
  <c r="P202" i="1"/>
  <c r="P201" i="1" s="1"/>
  <c r="P199" i="1"/>
  <c r="P198" i="1" s="1"/>
  <c r="P193" i="1"/>
  <c r="P187" i="1"/>
  <c r="P184" i="1"/>
  <c r="P182" i="1"/>
  <c r="P181" i="1"/>
  <c r="P170" i="1"/>
  <c r="Q170" i="1" s="1"/>
  <c r="R170" i="1" s="1"/>
  <c r="P167" i="1"/>
  <c r="P164" i="1"/>
  <c r="P163" i="1"/>
  <c r="P161" i="1"/>
  <c r="P159" i="1"/>
  <c r="P146" i="1"/>
  <c r="P143" i="1"/>
  <c r="P142" i="1"/>
  <c r="P141" i="1"/>
  <c r="P138" i="1"/>
  <c r="P136" i="1"/>
  <c r="P135" i="1"/>
  <c r="P134" i="1"/>
  <c r="P133" i="1"/>
  <c r="P132" i="1"/>
  <c r="P129" i="1"/>
  <c r="P95" i="1"/>
  <c r="P92" i="1"/>
  <c r="P89" i="1"/>
  <c r="P88" i="1" s="1"/>
  <c r="P84" i="1"/>
  <c r="P80" i="1"/>
  <c r="P76" i="1"/>
  <c r="P68" i="1"/>
  <c r="P65" i="1"/>
  <c r="P61" i="1"/>
  <c r="P55" i="1"/>
  <c r="P51" i="1"/>
  <c r="P48" i="1"/>
  <c r="P40" i="1"/>
  <c r="L150" i="4" l="1"/>
  <c r="J615" i="4"/>
  <c r="I8" i="4"/>
  <c r="Q169" i="1"/>
  <c r="J94" i="4"/>
  <c r="L94" i="4" s="1"/>
  <c r="L97" i="4"/>
  <c r="J131" i="4"/>
  <c r="L129" i="4" s="1"/>
  <c r="Q152" i="1"/>
  <c r="Q99" i="1"/>
  <c r="Q16" i="1"/>
  <c r="Q25" i="1"/>
  <c r="P216" i="1"/>
  <c r="P91" i="1"/>
  <c r="P94" i="1"/>
  <c r="P208" i="1"/>
  <c r="P204" i="1" s="1"/>
  <c r="P24" i="1" s="1"/>
  <c r="Q38" i="1"/>
  <c r="P197" i="1"/>
  <c r="P23" i="1" s="1"/>
  <c r="P102" i="1"/>
  <c r="P145" i="1"/>
  <c r="P104" i="1"/>
  <c r="P128" i="1"/>
  <c r="P160" i="1"/>
  <c r="P169" i="1"/>
  <c r="P162" i="1"/>
  <c r="P173" i="1"/>
  <c r="P100" i="1"/>
  <c r="P153" i="1"/>
  <c r="P180" i="1"/>
  <c r="P140" i="1"/>
  <c r="P75" i="1"/>
  <c r="P64" i="1"/>
  <c r="P54" i="1"/>
  <c r="P39" i="1"/>
  <c r="N29" i="1"/>
  <c r="N96" i="1"/>
  <c r="N93" i="1"/>
  <c r="N90" i="1"/>
  <c r="N87" i="1"/>
  <c r="N86" i="1"/>
  <c r="N85" i="1"/>
  <c r="N83" i="1"/>
  <c r="N82" i="1"/>
  <c r="N81" i="1"/>
  <c r="N78" i="1"/>
  <c r="N79" i="1"/>
  <c r="N77" i="1"/>
  <c r="N74" i="1"/>
  <c r="N73" i="1"/>
  <c r="N72" i="1"/>
  <c r="N71" i="1"/>
  <c r="N70" i="1"/>
  <c r="N69" i="1"/>
  <c r="N67" i="1"/>
  <c r="N66" i="1"/>
  <c r="N63" i="1"/>
  <c r="N62" i="1"/>
  <c r="N60" i="1"/>
  <c r="N59" i="1"/>
  <c r="N57" i="1"/>
  <c r="N56" i="1"/>
  <c r="N53" i="1"/>
  <c r="N52" i="1"/>
  <c r="N50" i="1"/>
  <c r="N49" i="1"/>
  <c r="N47" i="1"/>
  <c r="N46" i="1"/>
  <c r="N45" i="1"/>
  <c r="N44" i="1"/>
  <c r="N43" i="1"/>
  <c r="N42" i="1"/>
  <c r="N41" i="1"/>
  <c r="J128" i="4" l="1"/>
  <c r="L128" i="4" s="1"/>
  <c r="Q15" i="1"/>
  <c r="P99" i="1"/>
  <c r="P172" i="1"/>
  <c r="P144" i="1"/>
  <c r="P16" i="1"/>
  <c r="P152" i="1"/>
  <c r="P137" i="1"/>
  <c r="P25" i="1"/>
  <c r="P38" i="1"/>
  <c r="O217" i="1"/>
  <c r="O211" i="1"/>
  <c r="O209" i="1"/>
  <c r="O206" i="1"/>
  <c r="O205" i="1" s="1"/>
  <c r="O202" i="1"/>
  <c r="O201" i="1" s="1"/>
  <c r="O199" i="1"/>
  <c r="O198" i="1" s="1"/>
  <c r="O193" i="1"/>
  <c r="R193" i="1" s="1"/>
  <c r="O187" i="1"/>
  <c r="Q187" i="1" s="1"/>
  <c r="R187" i="1" s="1"/>
  <c r="O184" i="1"/>
  <c r="Q184" i="1" s="1"/>
  <c r="R184" i="1" s="1"/>
  <c r="O182" i="1"/>
  <c r="Q182" i="1" s="1"/>
  <c r="R182" i="1" s="1"/>
  <c r="O181" i="1"/>
  <c r="Q181" i="1" s="1"/>
  <c r="Q174" i="1"/>
  <c r="O167" i="1"/>
  <c r="R167" i="1" s="1"/>
  <c r="O164" i="1"/>
  <c r="R164" i="1" s="1"/>
  <c r="O163" i="1"/>
  <c r="Q163" i="1" s="1"/>
  <c r="O161" i="1"/>
  <c r="Q161" i="1" s="1"/>
  <c r="O159" i="1"/>
  <c r="Q159" i="1" s="1"/>
  <c r="R159" i="1" s="1"/>
  <c r="R151" i="1"/>
  <c r="O146" i="1"/>
  <c r="Q146" i="1" s="1"/>
  <c r="O143" i="1"/>
  <c r="Q143" i="1" s="1"/>
  <c r="R143" i="1" s="1"/>
  <c r="O142" i="1"/>
  <c r="Q142" i="1" s="1"/>
  <c r="R142" i="1" s="1"/>
  <c r="O141" i="1"/>
  <c r="Q141" i="1" s="1"/>
  <c r="O138" i="1"/>
  <c r="R138" i="1" s="1"/>
  <c r="O136" i="1"/>
  <c r="Q136" i="1" s="1"/>
  <c r="R136" i="1" s="1"/>
  <c r="O135" i="1"/>
  <c r="Q135" i="1" s="1"/>
  <c r="R135" i="1" s="1"/>
  <c r="O134" i="1"/>
  <c r="Q134" i="1" s="1"/>
  <c r="R134" i="1" s="1"/>
  <c r="O132" i="1"/>
  <c r="Q132" i="1" s="1"/>
  <c r="R132" i="1" s="1"/>
  <c r="O129" i="1"/>
  <c r="Q129" i="1" s="1"/>
  <c r="O126" i="1"/>
  <c r="Q126" i="1" s="1"/>
  <c r="R126" i="1" s="1"/>
  <c r="O123" i="1"/>
  <c r="Q123" i="1" s="1"/>
  <c r="R123" i="1" s="1"/>
  <c r="O120" i="1"/>
  <c r="Q120" i="1" s="1"/>
  <c r="R120" i="1" s="1"/>
  <c r="O118" i="1"/>
  <c r="Q118" i="1" s="1"/>
  <c r="R118" i="1" s="1"/>
  <c r="O117" i="1"/>
  <c r="Q117" i="1" s="1"/>
  <c r="R117" i="1" s="1"/>
  <c r="O116" i="1"/>
  <c r="Q116" i="1" s="1"/>
  <c r="O109" i="1"/>
  <c r="Q109" i="1" s="1"/>
  <c r="O95" i="1"/>
  <c r="R95" i="1" s="1"/>
  <c r="O92" i="1"/>
  <c r="R92" i="1" s="1"/>
  <c r="O89" i="1"/>
  <c r="R89" i="1" s="1"/>
  <c r="O84" i="1"/>
  <c r="R84" i="1" s="1"/>
  <c r="O80" i="1"/>
  <c r="R80" i="1" s="1"/>
  <c r="O76" i="1"/>
  <c r="R76" i="1" s="1"/>
  <c r="O68" i="1"/>
  <c r="R68" i="1" s="1"/>
  <c r="O65" i="1"/>
  <c r="R65" i="1" s="1"/>
  <c r="O61" i="1"/>
  <c r="R61" i="1" s="1"/>
  <c r="O58" i="1"/>
  <c r="R58" i="1" s="1"/>
  <c r="O55" i="1"/>
  <c r="R55" i="1" s="1"/>
  <c r="O51" i="1"/>
  <c r="R51" i="1" s="1"/>
  <c r="O48" i="1"/>
  <c r="R48" i="1" s="1"/>
  <c r="O40" i="1"/>
  <c r="R40" i="1" s="1"/>
  <c r="N218" i="1"/>
  <c r="N217" i="1" s="1"/>
  <c r="N216" i="1" s="1"/>
  <c r="N28" i="1" s="1"/>
  <c r="N212" i="1"/>
  <c r="N211" i="1" s="1"/>
  <c r="N209" i="1"/>
  <c r="N206" i="1"/>
  <c r="N205" i="1" s="1"/>
  <c r="N202" i="1"/>
  <c r="N201" i="1" s="1"/>
  <c r="N199" i="1"/>
  <c r="N198" i="1" s="1"/>
  <c r="N193" i="1"/>
  <c r="N167" i="1"/>
  <c r="N164" i="1"/>
  <c r="N138" i="1"/>
  <c r="N95" i="1"/>
  <c r="N94" i="1" s="1"/>
  <c r="N16" i="1" s="1"/>
  <c r="N92" i="1"/>
  <c r="N91" i="1" s="1"/>
  <c r="N89" i="1"/>
  <c r="N88" i="1" s="1"/>
  <c r="N84" i="1"/>
  <c r="N80" i="1"/>
  <c r="N76" i="1"/>
  <c r="N68" i="1"/>
  <c r="N65" i="1"/>
  <c r="N61" i="1"/>
  <c r="N58" i="1"/>
  <c r="N55" i="1"/>
  <c r="N51" i="1"/>
  <c r="N48" i="1"/>
  <c r="N40" i="1"/>
  <c r="M178" i="1"/>
  <c r="M121" i="1"/>
  <c r="M101" i="1"/>
  <c r="M100" i="1" s="1"/>
  <c r="M154" i="1"/>
  <c r="N177" i="1"/>
  <c r="R179" i="1"/>
  <c r="N174" i="1"/>
  <c r="N173" i="1" s="1"/>
  <c r="N172" i="1" s="1"/>
  <c r="N161" i="1"/>
  <c r="N160" i="1" s="1"/>
  <c r="N150" i="1"/>
  <c r="N118" i="1"/>
  <c r="N189" i="1"/>
  <c r="N159" i="1"/>
  <c r="N146" i="1"/>
  <c r="N134" i="1"/>
  <c r="N184" i="1"/>
  <c r="N182" i="1"/>
  <c r="N181" i="1"/>
  <c r="N143" i="1"/>
  <c r="N142" i="1"/>
  <c r="N141" i="1"/>
  <c r="N135" i="1"/>
  <c r="N126" i="1"/>
  <c r="N120" i="1"/>
  <c r="N111" i="1"/>
  <c r="N109" i="1"/>
  <c r="M179" i="1"/>
  <c r="M55" i="1"/>
  <c r="M61" i="1"/>
  <c r="M58" i="1"/>
  <c r="M177" i="1"/>
  <c r="M110" i="1"/>
  <c r="M105" i="1"/>
  <c r="M104" i="1" s="1"/>
  <c r="M192" i="1"/>
  <c r="M191" i="1" s="1"/>
  <c r="M189" i="1"/>
  <c r="M150" i="1"/>
  <c r="M123" i="1"/>
  <c r="M122" i="1"/>
  <c r="M155" i="1"/>
  <c r="M133" i="1"/>
  <c r="M114" i="1"/>
  <c r="M112" i="1"/>
  <c r="M111" i="1"/>
  <c r="M103" i="1"/>
  <c r="M187" i="1"/>
  <c r="M185" i="1"/>
  <c r="M183" i="1"/>
  <c r="M131" i="1"/>
  <c r="M212" i="1"/>
  <c r="M211" i="1" s="1"/>
  <c r="M115" i="1"/>
  <c r="M170" i="1"/>
  <c r="M147" i="1"/>
  <c r="M127" i="1"/>
  <c r="M76" i="1"/>
  <c r="M89" i="1"/>
  <c r="M88" i="1" s="1"/>
  <c r="J88" i="1"/>
  <c r="M68" i="1"/>
  <c r="M95" i="1"/>
  <c r="M94" i="1" s="1"/>
  <c r="M16" i="1" s="1"/>
  <c r="M135" i="1"/>
  <c r="M174" i="1"/>
  <c r="M92" i="1"/>
  <c r="M91" i="1" s="1"/>
  <c r="M184" i="1"/>
  <c r="M182" i="1"/>
  <c r="M181" i="1"/>
  <c r="M163" i="1"/>
  <c r="M161" i="1"/>
  <c r="M159" i="1"/>
  <c r="M151" i="1"/>
  <c r="M146" i="1"/>
  <c r="M143" i="1"/>
  <c r="M142" i="1"/>
  <c r="M141" i="1"/>
  <c r="M136" i="1"/>
  <c r="M134" i="1"/>
  <c r="M132" i="1"/>
  <c r="M129" i="1"/>
  <c r="M126" i="1"/>
  <c r="M125" i="1"/>
  <c r="M124" i="1"/>
  <c r="M120" i="1"/>
  <c r="M118" i="1"/>
  <c r="M117" i="1"/>
  <c r="M116" i="1"/>
  <c r="M109" i="1"/>
  <c r="M193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J406" i="3" s="1"/>
  <c r="H31" i="3"/>
  <c r="H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 s="1"/>
  <c r="F241" i="3"/>
  <c r="G228" i="3"/>
  <c r="J228" i="3" s="1"/>
  <c r="F411" i="3"/>
  <c r="I411" i="3" s="1"/>
  <c r="E411" i="3"/>
  <c r="E410" i="3" s="1"/>
  <c r="F173" i="3"/>
  <c r="I173" i="3" s="1"/>
  <c r="G148" i="3"/>
  <c r="G144" i="3" s="1"/>
  <c r="E150" i="3"/>
  <c r="E149" i="3" s="1"/>
  <c r="E148" i="3" s="1"/>
  <c r="E144" i="3" s="1"/>
  <c r="F150" i="3"/>
  <c r="F149" i="3" s="1"/>
  <c r="I149" i="3" s="1"/>
  <c r="G155" i="3"/>
  <c r="J155" i="3" s="1"/>
  <c r="H155" i="3"/>
  <c r="F157" i="3"/>
  <c r="F319" i="3"/>
  <c r="I319" i="3" s="1"/>
  <c r="H317" i="3"/>
  <c r="H313" i="3" s="1"/>
  <c r="F164" i="3"/>
  <c r="F84" i="3"/>
  <c r="I84" i="3" s="1"/>
  <c r="F73" i="3"/>
  <c r="I73" i="3" s="1"/>
  <c r="F425" i="3"/>
  <c r="E425" i="3"/>
  <c r="E424" i="3" s="1"/>
  <c r="H494" i="3"/>
  <c r="G494" i="3"/>
  <c r="F496" i="3"/>
  <c r="F495" i="3" s="1"/>
  <c r="E496" i="3"/>
  <c r="E495" i="3" s="1"/>
  <c r="E494" i="3" s="1"/>
  <c r="E490" i="3" s="1"/>
  <c r="E488" i="3" s="1"/>
  <c r="H449" i="3"/>
  <c r="H448" i="3" s="1"/>
  <c r="G449" i="3"/>
  <c r="G448" i="3" s="1"/>
  <c r="F450" i="3"/>
  <c r="E450" i="3"/>
  <c r="E449" i="3" s="1"/>
  <c r="F453" i="3"/>
  <c r="I453" i="3" s="1"/>
  <c r="E453" i="3"/>
  <c r="E452" i="3" s="1"/>
  <c r="F443" i="3"/>
  <c r="F442" i="3" s="1"/>
  <c r="I442" i="3" s="1"/>
  <c r="H442" i="3"/>
  <c r="J442" i="3" s="1"/>
  <c r="F440" i="3"/>
  <c r="E440" i="3"/>
  <c r="E439" i="3" s="1"/>
  <c r="F408" i="3"/>
  <c r="F407" i="3" s="1"/>
  <c r="I407" i="3" s="1"/>
  <c r="E408" i="3"/>
  <c r="E407" i="3" s="1"/>
  <c r="E406" i="3" s="1"/>
  <c r="E250" i="3"/>
  <c r="E249" i="3" s="1"/>
  <c r="E248" i="3" s="1"/>
  <c r="E244" i="3" s="1"/>
  <c r="F250" i="3"/>
  <c r="G248" i="3"/>
  <c r="G244" i="3" s="1"/>
  <c r="H248" i="3"/>
  <c r="H244" i="3" s="1"/>
  <c r="J244" i="3" s="1"/>
  <c r="E164" i="3"/>
  <c r="E163" i="3" s="1"/>
  <c r="E162" i="3" s="1"/>
  <c r="E157" i="3"/>
  <c r="E156" i="3" s="1"/>
  <c r="E155" i="3" s="1"/>
  <c r="F233" i="3"/>
  <c r="E233" i="3"/>
  <c r="E232" i="3" s="1"/>
  <c r="E173" i="3"/>
  <c r="E172" i="3" s="1"/>
  <c r="E171" i="3" s="1"/>
  <c r="E167" i="3" s="1"/>
  <c r="H171" i="3"/>
  <c r="H162" i="3"/>
  <c r="J162" i="3" s="1"/>
  <c r="G171" i="3"/>
  <c r="G167" i="3" s="1"/>
  <c r="G162" i="3"/>
  <c r="F39" i="3"/>
  <c r="E39" i="3"/>
  <c r="E38" i="3" s="1"/>
  <c r="F35" i="3"/>
  <c r="E35" i="3"/>
  <c r="F33" i="3"/>
  <c r="E33" i="3"/>
  <c r="F24" i="3"/>
  <c r="F20" i="3"/>
  <c r="I20" i="3" s="1"/>
  <c r="H16" i="3"/>
  <c r="J16" i="3" s="1"/>
  <c r="F18" i="3"/>
  <c r="I18" i="3" s="1"/>
  <c r="E18" i="3"/>
  <c r="F92" i="3"/>
  <c r="E92" i="3"/>
  <c r="H284" i="3"/>
  <c r="H283" i="3" s="1"/>
  <c r="G284" i="3"/>
  <c r="G283" i="3" s="1"/>
  <c r="F285" i="3"/>
  <c r="F284" i="3" s="1"/>
  <c r="F283" i="3" s="1"/>
  <c r="E285" i="3"/>
  <c r="E284" i="3" s="1"/>
  <c r="E283" i="3" s="1"/>
  <c r="H393" i="3"/>
  <c r="H389" i="3" s="1"/>
  <c r="G393" i="3"/>
  <c r="G389" i="3" s="1"/>
  <c r="F394" i="3"/>
  <c r="F393" i="3" s="1"/>
  <c r="E394" i="3"/>
  <c r="E393" i="3"/>
  <c r="H484" i="3"/>
  <c r="H483" i="3" s="1"/>
  <c r="H479" i="3" s="1"/>
  <c r="H477" i="3" s="1"/>
  <c r="G484" i="3"/>
  <c r="F485" i="3"/>
  <c r="I485" i="3"/>
  <c r="E485" i="3"/>
  <c r="E484" i="3" s="1"/>
  <c r="E483" i="3" s="1"/>
  <c r="E479" i="3" s="1"/>
  <c r="E477" i="3" s="1"/>
  <c r="H472" i="3"/>
  <c r="G472" i="3"/>
  <c r="F474" i="3"/>
  <c r="E474" i="3"/>
  <c r="E473" i="3" s="1"/>
  <c r="E472" i="3" s="1"/>
  <c r="H465" i="3"/>
  <c r="G465" i="3"/>
  <c r="F467" i="3"/>
  <c r="F466" i="3" s="1"/>
  <c r="E467" i="3"/>
  <c r="H458" i="3"/>
  <c r="G458" i="3"/>
  <c r="F460" i="3"/>
  <c r="E460" i="3"/>
  <c r="E459" i="3"/>
  <c r="E458" i="3" s="1"/>
  <c r="E443" i="3"/>
  <c r="E442" i="3" s="1"/>
  <c r="H431" i="3"/>
  <c r="G431" i="3"/>
  <c r="J431" i="3" s="1"/>
  <c r="F433" i="3"/>
  <c r="E433" i="3"/>
  <c r="E432" i="3" s="1"/>
  <c r="E431" i="3" s="1"/>
  <c r="F422" i="3"/>
  <c r="I422" i="3"/>
  <c r="E422" i="3"/>
  <c r="H418" i="3"/>
  <c r="G418" i="3"/>
  <c r="F420" i="3"/>
  <c r="E420" i="3"/>
  <c r="E419" i="3" s="1"/>
  <c r="E418" i="3" s="1"/>
  <c r="H400" i="3"/>
  <c r="J400" i="3" s="1"/>
  <c r="G399" i="3"/>
  <c r="F401" i="3"/>
  <c r="I401" i="3" s="1"/>
  <c r="E401" i="3"/>
  <c r="E400" i="3" s="1"/>
  <c r="E399" i="3" s="1"/>
  <c r="F391" i="3"/>
  <c r="I391" i="3" s="1"/>
  <c r="E391" i="3"/>
  <c r="E390" i="3" s="1"/>
  <c r="H382" i="3"/>
  <c r="G382" i="3"/>
  <c r="F384" i="3"/>
  <c r="E384" i="3"/>
  <c r="E383" i="3" s="1"/>
  <c r="E382" i="3" s="1"/>
  <c r="H375" i="3"/>
  <c r="G375" i="3"/>
  <c r="F377" i="3"/>
  <c r="E377" i="3"/>
  <c r="E376" i="3"/>
  <c r="E375" i="3" s="1"/>
  <c r="H366" i="3"/>
  <c r="G366" i="3"/>
  <c r="F368" i="3"/>
  <c r="E368" i="3"/>
  <c r="E367" i="3" s="1"/>
  <c r="E366" i="3"/>
  <c r="H359" i="3"/>
  <c r="G359" i="3"/>
  <c r="F361" i="3"/>
  <c r="E361" i="3"/>
  <c r="H351" i="3"/>
  <c r="J351" i="3" s="1"/>
  <c r="G351" i="3"/>
  <c r="F353" i="3"/>
  <c r="E353" i="3"/>
  <c r="E352" i="3"/>
  <c r="E351" i="3" s="1"/>
  <c r="F346" i="3"/>
  <c r="E346" i="3"/>
  <c r="H342" i="3"/>
  <c r="G342" i="3"/>
  <c r="F344" i="3"/>
  <c r="E344" i="3"/>
  <c r="E343" i="3" s="1"/>
  <c r="E342" i="3" s="1"/>
  <c r="H331" i="3"/>
  <c r="H327" i="3" s="1"/>
  <c r="G331" i="3"/>
  <c r="G327" i="3" s="1"/>
  <c r="G325" i="3" s="1"/>
  <c r="F333" i="3"/>
  <c r="F332" i="3" s="1"/>
  <c r="F331" i="3" s="1"/>
  <c r="E333" i="3"/>
  <c r="E332" i="3" s="1"/>
  <c r="E331" i="3"/>
  <c r="E327" i="3" s="1"/>
  <c r="E325" i="3" s="1"/>
  <c r="F322" i="3"/>
  <c r="I322" i="3" s="1"/>
  <c r="E322" i="3"/>
  <c r="E319" i="3"/>
  <c r="E318" i="3" s="1"/>
  <c r="E317" i="3"/>
  <c r="E313" i="3" s="1"/>
  <c r="F310" i="3"/>
  <c r="I310" i="3" s="1"/>
  <c r="E310" i="3"/>
  <c r="F308" i="3"/>
  <c r="E308" i="3"/>
  <c r="E307" i="3"/>
  <c r="E306" i="3" s="1"/>
  <c r="E302" i="3" s="1"/>
  <c r="G290" i="3"/>
  <c r="F299" i="3"/>
  <c r="F298" i="3"/>
  <c r="I298" i="3" s="1"/>
  <c r="E299" i="3"/>
  <c r="E298" i="3" s="1"/>
  <c r="F295" i="3"/>
  <c r="I295" i="3" s="1"/>
  <c r="E295" i="3"/>
  <c r="F292" i="3"/>
  <c r="E292" i="3"/>
  <c r="F278" i="3"/>
  <c r="E278" i="3"/>
  <c r="E276" i="3"/>
  <c r="E275" i="3" s="1"/>
  <c r="F273" i="3"/>
  <c r="I273" i="3"/>
  <c r="E273" i="3"/>
  <c r="E272" i="3" s="1"/>
  <c r="G259" i="3"/>
  <c r="G255" i="3" s="1"/>
  <c r="F264" i="3"/>
  <c r="I264" i="3" s="1"/>
  <c r="E264" i="3"/>
  <c r="H259" i="3"/>
  <c r="H255" i="3" s="1"/>
  <c r="J255" i="3" s="1"/>
  <c r="F261" i="3"/>
  <c r="I261" i="3" s="1"/>
  <c r="E261" i="3"/>
  <c r="H239" i="3"/>
  <c r="G239" i="3"/>
  <c r="E241" i="3"/>
  <c r="E240" i="3" s="1"/>
  <c r="E239" i="3" s="1"/>
  <c r="F230" i="3"/>
  <c r="E230" i="3"/>
  <c r="E229" i="3" s="1"/>
  <c r="H221" i="3"/>
  <c r="G221" i="3"/>
  <c r="F223" i="3"/>
  <c r="E223" i="3"/>
  <c r="E222" i="3" s="1"/>
  <c r="E221" i="3" s="1"/>
  <c r="H214" i="3"/>
  <c r="G214" i="3"/>
  <c r="F216" i="3"/>
  <c r="E216" i="3"/>
  <c r="E215" i="3" s="1"/>
  <c r="E214" i="3"/>
  <c r="H203" i="3"/>
  <c r="G203" i="3"/>
  <c r="F205" i="3"/>
  <c r="I205" i="3" s="1"/>
  <c r="E205" i="3"/>
  <c r="E204" i="3" s="1"/>
  <c r="E203" i="3" s="1"/>
  <c r="E199" i="3" s="1"/>
  <c r="H194" i="3"/>
  <c r="G194" i="3"/>
  <c r="F196" i="3"/>
  <c r="E196" i="3"/>
  <c r="E195" i="3" s="1"/>
  <c r="E194" i="3" s="1"/>
  <c r="F189" i="3"/>
  <c r="I189" i="3"/>
  <c r="E189" i="3"/>
  <c r="E188" i="3" s="1"/>
  <c r="F185" i="3"/>
  <c r="I185" i="3" s="1"/>
  <c r="E185" i="3"/>
  <c r="E184" i="3" s="1"/>
  <c r="H148" i="3"/>
  <c r="H144" i="3" s="1"/>
  <c r="H139" i="3"/>
  <c r="J139" i="3" s="1"/>
  <c r="G139" i="3"/>
  <c r="F141" i="3"/>
  <c r="F140" i="3" s="1"/>
  <c r="E141" i="3"/>
  <c r="E140" i="3" s="1"/>
  <c r="E139" i="3" s="1"/>
  <c r="E135" i="3" s="1"/>
  <c r="F130" i="3"/>
  <c r="E130" i="3"/>
  <c r="H126" i="3"/>
  <c r="H125" i="3"/>
  <c r="J125" i="3" s="1"/>
  <c r="G126" i="3"/>
  <c r="G125" i="3" s="1"/>
  <c r="F127" i="3"/>
  <c r="F126" i="3" s="1"/>
  <c r="E127" i="3"/>
  <c r="E126" i="3"/>
  <c r="H118" i="3"/>
  <c r="G118" i="3"/>
  <c r="J118" i="3" s="1"/>
  <c r="F120" i="3"/>
  <c r="F119" i="3" s="1"/>
  <c r="E120" i="3"/>
  <c r="E119" i="3" s="1"/>
  <c r="E118" i="3" s="1"/>
  <c r="H111" i="3"/>
  <c r="G111" i="3"/>
  <c r="F113" i="3"/>
  <c r="F112" i="3" s="1"/>
  <c r="I112" i="3" s="1"/>
  <c r="E113" i="3"/>
  <c r="E112" i="3" s="1"/>
  <c r="E111" i="3" s="1"/>
  <c r="H101" i="3"/>
  <c r="G101" i="3"/>
  <c r="F103" i="3"/>
  <c r="E103" i="3"/>
  <c r="E102" i="3" s="1"/>
  <c r="E101" i="3" s="1"/>
  <c r="F94" i="3"/>
  <c r="F91" i="3" s="1"/>
  <c r="I91" i="3" s="1"/>
  <c r="E94" i="3"/>
  <c r="E91" i="3" s="1"/>
  <c r="E84" i="3"/>
  <c r="F82" i="3"/>
  <c r="E82" i="3"/>
  <c r="E73" i="3"/>
  <c r="F68" i="3"/>
  <c r="E68" i="3"/>
  <c r="F58" i="3"/>
  <c r="E58" i="3"/>
  <c r="E57" i="3" s="1"/>
  <c r="F54" i="3"/>
  <c r="I54" i="3" s="1"/>
  <c r="E54" i="3"/>
  <c r="G48" i="3"/>
  <c r="F52" i="3"/>
  <c r="I52" i="3" s="1"/>
  <c r="E52" i="3"/>
  <c r="H48" i="3"/>
  <c r="F50" i="3"/>
  <c r="E50" i="3"/>
  <c r="E49" i="3" s="1"/>
  <c r="E24" i="3"/>
  <c r="E23" i="3" s="1"/>
  <c r="E20" i="3"/>
  <c r="E17" i="3"/>
  <c r="K55" i="1"/>
  <c r="J91" i="1"/>
  <c r="L74" i="1"/>
  <c r="K74" i="1"/>
  <c r="J74" i="1"/>
  <c r="J78" i="1"/>
  <c r="J65" i="1"/>
  <c r="M218" i="1"/>
  <c r="M217" i="1" s="1"/>
  <c r="M216" i="1" s="1"/>
  <c r="M28" i="1" s="1"/>
  <c r="M202" i="1"/>
  <c r="M201" i="1" s="1"/>
  <c r="M167" i="1"/>
  <c r="M138" i="1"/>
  <c r="M65" i="1"/>
  <c r="L218" i="1"/>
  <c r="L217" i="1" s="1"/>
  <c r="L216" i="1" s="1"/>
  <c r="L28" i="1" s="1"/>
  <c r="L202" i="1"/>
  <c r="L201" i="1" s="1"/>
  <c r="K202" i="1"/>
  <c r="K201" i="1" s="1"/>
  <c r="L191" i="1"/>
  <c r="L180" i="1"/>
  <c r="L176" i="1"/>
  <c r="L173" i="1"/>
  <c r="L172" i="1" s="1"/>
  <c r="L169" i="1"/>
  <c r="L160" i="1"/>
  <c r="L158" i="1"/>
  <c r="L157" i="1" s="1"/>
  <c r="L153" i="1"/>
  <c r="L152" i="1" s="1"/>
  <c r="L130" i="1"/>
  <c r="L128" i="1"/>
  <c r="L119" i="1"/>
  <c r="L113" i="1"/>
  <c r="L108" i="1"/>
  <c r="L104" i="1"/>
  <c r="L100" i="1"/>
  <c r="L96" i="1"/>
  <c r="L84" i="1"/>
  <c r="L83" i="1"/>
  <c r="L82" i="1"/>
  <c r="L81" i="1"/>
  <c r="L78" i="1"/>
  <c r="L77" i="1"/>
  <c r="L73" i="1"/>
  <c r="L65" i="1"/>
  <c r="L55" i="1"/>
  <c r="L50" i="1"/>
  <c r="L49" i="1"/>
  <c r="L40" i="1"/>
  <c r="K191" i="1"/>
  <c r="K180" i="1"/>
  <c r="K176" i="1"/>
  <c r="K173" i="1"/>
  <c r="K172" i="1" s="1"/>
  <c r="K169" i="1"/>
  <c r="K160" i="1"/>
  <c r="K158" i="1"/>
  <c r="K153" i="1"/>
  <c r="K152" i="1" s="1"/>
  <c r="K149" i="1"/>
  <c r="K148" i="1" s="1"/>
  <c r="K140" i="1"/>
  <c r="K138" i="1"/>
  <c r="K130" i="1"/>
  <c r="K128" i="1"/>
  <c r="K119" i="1"/>
  <c r="K113" i="1"/>
  <c r="K108" i="1"/>
  <c r="K104" i="1"/>
  <c r="K100" i="1"/>
  <c r="K96" i="1"/>
  <c r="K84" i="1"/>
  <c r="K82" i="1"/>
  <c r="K81" i="1"/>
  <c r="K78" i="1"/>
  <c r="K77" i="1"/>
  <c r="K73" i="1"/>
  <c r="K65" i="1"/>
  <c r="K52" i="1"/>
  <c r="K50" i="1"/>
  <c r="K49" i="1"/>
  <c r="K40" i="1"/>
  <c r="J218" i="1"/>
  <c r="J217" i="1" s="1"/>
  <c r="J191" i="1"/>
  <c r="J180" i="1"/>
  <c r="J176" i="1"/>
  <c r="J173" i="1"/>
  <c r="J172" i="1" s="1"/>
  <c r="J169" i="1"/>
  <c r="J162" i="1"/>
  <c r="J160" i="1"/>
  <c r="J158" i="1"/>
  <c r="J157" i="1" s="1"/>
  <c r="J153" i="1"/>
  <c r="J152" i="1" s="1"/>
  <c r="J149" i="1"/>
  <c r="J148" i="1" s="1"/>
  <c r="J140" i="1"/>
  <c r="J130" i="1"/>
  <c r="J119" i="1"/>
  <c r="J113" i="1"/>
  <c r="J108" i="1"/>
  <c r="J104" i="1"/>
  <c r="J102" i="1"/>
  <c r="J100" i="1"/>
  <c r="J96" i="1"/>
  <c r="J95" i="1" s="1"/>
  <c r="J94" i="1" s="1"/>
  <c r="J16" i="1" s="1"/>
  <c r="J84" i="1"/>
  <c r="J83" i="1"/>
  <c r="J82" i="1"/>
  <c r="J77" i="1"/>
  <c r="J73" i="1"/>
  <c r="J55" i="1"/>
  <c r="J53" i="1"/>
  <c r="J52" i="1"/>
  <c r="J50" i="1"/>
  <c r="J49" i="1"/>
  <c r="J40" i="1"/>
  <c r="L193" i="1"/>
  <c r="K193" i="1"/>
  <c r="J128" i="1"/>
  <c r="L186" i="1"/>
  <c r="K186" i="1"/>
  <c r="J186" i="1"/>
  <c r="K83" i="1"/>
  <c r="J81" i="1"/>
  <c r="L52" i="1"/>
  <c r="L53" i="1"/>
  <c r="K53" i="1"/>
  <c r="L167" i="1"/>
  <c r="K167" i="1"/>
  <c r="J167" i="1"/>
  <c r="K218" i="1"/>
  <c r="K217" i="1" s="1"/>
  <c r="K216" i="1" s="1"/>
  <c r="K28" i="1" s="1"/>
  <c r="M164" i="1"/>
  <c r="J164" i="1"/>
  <c r="K162" i="1"/>
  <c r="K164" i="1"/>
  <c r="L162" i="1"/>
  <c r="L164" i="1"/>
  <c r="J193" i="1"/>
  <c r="L102" i="1"/>
  <c r="L138" i="1"/>
  <c r="L140" i="1"/>
  <c r="L145" i="1"/>
  <c r="L144" i="1" s="1"/>
  <c r="L149" i="1"/>
  <c r="L148" i="1" s="1"/>
  <c r="K102" i="1"/>
  <c r="K145" i="1"/>
  <c r="K144" i="1" s="1"/>
  <c r="J138" i="1"/>
  <c r="J145" i="1"/>
  <c r="J144" i="1" s="1"/>
  <c r="L211" i="1"/>
  <c r="M209" i="1"/>
  <c r="L209" i="1"/>
  <c r="M206" i="1"/>
  <c r="M205" i="1" s="1"/>
  <c r="L206" i="1"/>
  <c r="L205" i="1" s="1"/>
  <c r="M199" i="1"/>
  <c r="M198" i="1" s="1"/>
  <c r="L199" i="1"/>
  <c r="L198" i="1" s="1"/>
  <c r="K211" i="1"/>
  <c r="K209" i="1"/>
  <c r="K206" i="1"/>
  <c r="K205" i="1" s="1"/>
  <c r="K199" i="1"/>
  <c r="K198" i="1" s="1"/>
  <c r="J211" i="1"/>
  <c r="J209" i="1"/>
  <c r="J206" i="1"/>
  <c r="J205" i="1" s="1"/>
  <c r="J202" i="1"/>
  <c r="J201" i="1" s="1"/>
  <c r="J199" i="1"/>
  <c r="J198" i="1" s="1"/>
  <c r="H306" i="3"/>
  <c r="J452" i="3"/>
  <c r="H183" i="3"/>
  <c r="H178" i="3" s="1"/>
  <c r="G271" i="3"/>
  <c r="J271" i="3" s="1"/>
  <c r="H228" i="3"/>
  <c r="G183" i="3"/>
  <c r="G178" i="3" s="1"/>
  <c r="H271" i="3"/>
  <c r="H290" i="3"/>
  <c r="J290" i="3" s="1"/>
  <c r="G66" i="3"/>
  <c r="G16" i="3"/>
  <c r="E360" i="3"/>
  <c r="E359" i="3" s="1"/>
  <c r="G438" i="3"/>
  <c r="G31" i="3"/>
  <c r="G27" i="3" s="1"/>
  <c r="H66" i="3"/>
  <c r="E129" i="3"/>
  <c r="E125" i="3" s="1"/>
  <c r="E466" i="3"/>
  <c r="E465" i="3" s="1"/>
  <c r="G317" i="3"/>
  <c r="G306" i="3"/>
  <c r="I496" i="3"/>
  <c r="I467" i="3"/>
  <c r="F410" i="3"/>
  <c r="I141" i="3"/>
  <c r="H399" i="3"/>
  <c r="F172" i="3"/>
  <c r="I172" i="3" s="1"/>
  <c r="F272" i="3"/>
  <c r="I113" i="3"/>
  <c r="F184" i="3"/>
  <c r="I184" i="3" s="1"/>
  <c r="F188" i="3"/>
  <c r="I188" i="3" s="1"/>
  <c r="I278" i="3"/>
  <c r="F275" i="3"/>
  <c r="I275" i="3" s="1"/>
  <c r="I353" i="3"/>
  <c r="F352" i="3"/>
  <c r="I361" i="3"/>
  <c r="F360" i="3"/>
  <c r="F359" i="3" s="1"/>
  <c r="I359" i="3" s="1"/>
  <c r="F484" i="3"/>
  <c r="I408" i="3"/>
  <c r="F439" i="3"/>
  <c r="I439" i="3" s="1"/>
  <c r="I440" i="3"/>
  <c r="I443" i="3"/>
  <c r="H438" i="3"/>
  <c r="J472" i="3"/>
  <c r="L68" i="1"/>
  <c r="J68" i="1"/>
  <c r="I299" i="3"/>
  <c r="I120" i="3"/>
  <c r="H135" i="3"/>
  <c r="J135" i="3" s="1"/>
  <c r="F204" i="3"/>
  <c r="F203" i="3" s="1"/>
  <c r="I203" i="3" s="1"/>
  <c r="F148" i="3"/>
  <c r="M80" i="1"/>
  <c r="I333" i="3"/>
  <c r="J418" i="3"/>
  <c r="K68" i="1"/>
  <c r="I346" i="3"/>
  <c r="I460" i="3"/>
  <c r="F459" i="3"/>
  <c r="H490" i="3"/>
  <c r="H488" i="3" s="1"/>
  <c r="J48" i="3"/>
  <c r="M51" i="1"/>
  <c r="I272" i="3"/>
  <c r="F483" i="3"/>
  <c r="F479" i="3" s="1"/>
  <c r="F477" i="3" s="1"/>
  <c r="J317" i="3"/>
  <c r="G313" i="3"/>
  <c r="J313" i="3" s="1"/>
  <c r="I384" i="3"/>
  <c r="F383" i="3"/>
  <c r="F382" i="3" s="1"/>
  <c r="I33" i="3"/>
  <c r="M48" i="1"/>
  <c r="M40" i="1"/>
  <c r="J331" i="3"/>
  <c r="F343" i="3"/>
  <c r="I344" i="3"/>
  <c r="I216" i="3"/>
  <c r="F215" i="3"/>
  <c r="I215" i="3" s="1"/>
  <c r="F260" i="3"/>
  <c r="G135" i="3"/>
  <c r="F139" i="3"/>
  <c r="F135" i="3" s="1"/>
  <c r="I140" i="3"/>
  <c r="J27" i="3"/>
  <c r="G12" i="3"/>
  <c r="G483" i="3"/>
  <c r="I484" i="3"/>
  <c r="F318" i="3"/>
  <c r="F317" i="3" s="1"/>
  <c r="F438" i="3"/>
  <c r="G302" i="3"/>
  <c r="F229" i="3"/>
  <c r="I229" i="3" s="1"/>
  <c r="I230" i="3"/>
  <c r="F111" i="3"/>
  <c r="I111" i="3" s="1"/>
  <c r="G199" i="3"/>
  <c r="J359" i="3"/>
  <c r="M84" i="1"/>
  <c r="M158" i="1"/>
  <c r="F419" i="3"/>
  <c r="I420" i="3"/>
  <c r="F465" i="3"/>
  <c r="I465" i="3" s="1"/>
  <c r="I466" i="3"/>
  <c r="J66" i="3"/>
  <c r="F214" i="3"/>
  <c r="F249" i="3"/>
  <c r="I249" i="3" s="1"/>
  <c r="I250" i="3"/>
  <c r="F449" i="3"/>
  <c r="I450" i="3"/>
  <c r="J183" i="3"/>
  <c r="I82" i="3"/>
  <c r="I383" i="3"/>
  <c r="J31" i="3"/>
  <c r="F248" i="3"/>
  <c r="F244" i="3" s="1"/>
  <c r="I244" i="3" s="1"/>
  <c r="I419" i="3"/>
  <c r="I248" i="3"/>
  <c r="R129" i="1" l="1"/>
  <c r="Q128" i="1"/>
  <c r="R161" i="1"/>
  <c r="Q160" i="1"/>
  <c r="R109" i="1"/>
  <c r="Q108" i="1"/>
  <c r="R146" i="1"/>
  <c r="Q145" i="1"/>
  <c r="R163" i="1"/>
  <c r="Q162" i="1"/>
  <c r="R181" i="1"/>
  <c r="Q180" i="1"/>
  <c r="R116" i="1"/>
  <c r="Q113" i="1"/>
  <c r="R141" i="1"/>
  <c r="Q140" i="1"/>
  <c r="R174" i="1"/>
  <c r="Q173" i="1"/>
  <c r="L615" i="4"/>
  <c r="I7" i="4"/>
  <c r="Q14" i="1"/>
  <c r="N131" i="1"/>
  <c r="I438" i="3"/>
  <c r="I483" i="3"/>
  <c r="G479" i="3"/>
  <c r="G477" i="3" s="1"/>
  <c r="I477" i="3" s="1"/>
  <c r="I148" i="3"/>
  <c r="I360" i="3"/>
  <c r="F458" i="3"/>
  <c r="I458" i="3" s="1"/>
  <c r="I459" i="3"/>
  <c r="F271" i="3"/>
  <c r="I271" i="3" s="1"/>
  <c r="J178" i="3"/>
  <c r="J144" i="3"/>
  <c r="I377" i="3"/>
  <c r="F376" i="3"/>
  <c r="F313" i="3"/>
  <c r="I313" i="3" s="1"/>
  <c r="I317" i="3"/>
  <c r="F23" i="3"/>
  <c r="I23" i="3" s="1"/>
  <c r="I24" i="3"/>
  <c r="I35" i="3"/>
  <c r="F32" i="3"/>
  <c r="I32" i="3" s="1"/>
  <c r="I343" i="3"/>
  <c r="F342" i="3"/>
  <c r="I342" i="3" s="1"/>
  <c r="F129" i="3"/>
  <c r="F125" i="3" s="1"/>
  <c r="I125" i="3" s="1"/>
  <c r="I130" i="3"/>
  <c r="I196" i="3"/>
  <c r="F195" i="3"/>
  <c r="I195" i="3" s="1"/>
  <c r="I204" i="3"/>
  <c r="F199" i="3"/>
  <c r="I199" i="3" s="1"/>
  <c r="J248" i="3"/>
  <c r="I318" i="3"/>
  <c r="J12" i="3"/>
  <c r="F171" i="3"/>
  <c r="F183" i="3"/>
  <c r="I183" i="3" s="1"/>
  <c r="F400" i="3"/>
  <c r="F17" i="3"/>
  <c r="F16" i="3" s="1"/>
  <c r="E48" i="3"/>
  <c r="I68" i="3"/>
  <c r="F67" i="3"/>
  <c r="I67" i="3" s="1"/>
  <c r="I103" i="3"/>
  <c r="F102" i="3"/>
  <c r="F118" i="3"/>
  <c r="I118" i="3" s="1"/>
  <c r="I119" i="3"/>
  <c r="F291" i="3"/>
  <c r="F290" i="3" s="1"/>
  <c r="I290" i="3" s="1"/>
  <c r="I292" i="3"/>
  <c r="J366" i="3"/>
  <c r="F432" i="3"/>
  <c r="I433" i="3"/>
  <c r="E228" i="3"/>
  <c r="J342" i="3"/>
  <c r="J448" i="3"/>
  <c r="E67" i="3"/>
  <c r="E66" i="3" s="1"/>
  <c r="E44" i="3" s="1"/>
  <c r="E42" i="3" s="1"/>
  <c r="H44" i="3"/>
  <c r="E183" i="3"/>
  <c r="E178" i="3" s="1"/>
  <c r="E338" i="3"/>
  <c r="H371" i="3"/>
  <c r="E448" i="3"/>
  <c r="E210" i="3"/>
  <c r="E208" i="3" s="1"/>
  <c r="J389" i="3"/>
  <c r="H414" i="3"/>
  <c r="J414" i="3" s="1"/>
  <c r="F452" i="3"/>
  <c r="I452" i="3" s="1"/>
  <c r="H12" i="3"/>
  <c r="H10" i="3" s="1"/>
  <c r="J259" i="3"/>
  <c r="I150" i="3"/>
  <c r="H338" i="3"/>
  <c r="I285" i="3"/>
  <c r="H210" i="3"/>
  <c r="H208" i="3" s="1"/>
  <c r="E260" i="3"/>
  <c r="E259" i="3" s="1"/>
  <c r="E255" i="3" s="1"/>
  <c r="J465" i="3"/>
  <c r="E32" i="3"/>
  <c r="N136" i="1"/>
  <c r="F66" i="3"/>
  <c r="I66" i="3" s="1"/>
  <c r="H336" i="3"/>
  <c r="F473" i="3"/>
  <c r="I474" i="3"/>
  <c r="I233" i="3"/>
  <c r="F232" i="3"/>
  <c r="I232" i="3" s="1"/>
  <c r="I241" i="3"/>
  <c r="F240" i="3"/>
  <c r="G176" i="3"/>
  <c r="H42" i="3"/>
  <c r="F390" i="3"/>
  <c r="I410" i="3"/>
  <c r="F406" i="3"/>
  <c r="I406" i="3" s="1"/>
  <c r="H302" i="3"/>
  <c r="J302" i="3" s="1"/>
  <c r="J306" i="3"/>
  <c r="I129" i="3"/>
  <c r="H199" i="3"/>
  <c r="H176" i="3" s="1"/>
  <c r="J203" i="3"/>
  <c r="G210" i="3"/>
  <c r="G208" i="3" s="1"/>
  <c r="J208" i="3" s="1"/>
  <c r="J214" i="3"/>
  <c r="F327" i="3"/>
  <c r="I331" i="3"/>
  <c r="I368" i="3"/>
  <c r="F367" i="3"/>
  <c r="G267" i="3"/>
  <c r="G253" i="3" s="1"/>
  <c r="I283" i="3"/>
  <c r="I39" i="3"/>
  <c r="F38" i="3"/>
  <c r="H167" i="3"/>
  <c r="J167" i="3" s="1"/>
  <c r="J171" i="3"/>
  <c r="I164" i="3"/>
  <c r="F163" i="3"/>
  <c r="I157" i="3"/>
  <c r="F156" i="3"/>
  <c r="I449" i="3"/>
  <c r="F448" i="3"/>
  <c r="I448" i="3" s="1"/>
  <c r="H133" i="3"/>
  <c r="I479" i="3"/>
  <c r="J148" i="3"/>
  <c r="I260" i="3"/>
  <c r="F259" i="3"/>
  <c r="I332" i="3"/>
  <c r="I17" i="3"/>
  <c r="J399" i="3"/>
  <c r="G414" i="3"/>
  <c r="I291" i="3"/>
  <c r="E389" i="3"/>
  <c r="E371" i="3" s="1"/>
  <c r="H267" i="3"/>
  <c r="E31" i="3"/>
  <c r="E27" i="3" s="1"/>
  <c r="E438" i="3"/>
  <c r="I495" i="3"/>
  <c r="F494" i="3"/>
  <c r="F490" i="3" s="1"/>
  <c r="F488" i="3" s="1"/>
  <c r="I425" i="3"/>
  <c r="F424" i="3"/>
  <c r="I352" i="3"/>
  <c r="F351" i="3"/>
  <c r="F57" i="3"/>
  <c r="I57" i="3" s="1"/>
  <c r="I58" i="3"/>
  <c r="G44" i="3"/>
  <c r="J111" i="3"/>
  <c r="I223" i="3"/>
  <c r="F222" i="3"/>
  <c r="I308" i="3"/>
  <c r="F307" i="3"/>
  <c r="J371" i="3"/>
  <c r="J382" i="3"/>
  <c r="I382" i="3"/>
  <c r="G371" i="3"/>
  <c r="I94" i="3"/>
  <c r="J101" i="3"/>
  <c r="F49" i="3"/>
  <c r="I50" i="3"/>
  <c r="J327" i="3"/>
  <c r="H325" i="3"/>
  <c r="J325" i="3" s="1"/>
  <c r="G490" i="3"/>
  <c r="I494" i="3"/>
  <c r="J494" i="3"/>
  <c r="O91" i="1"/>
  <c r="R91" i="1" s="1"/>
  <c r="E16" i="3"/>
  <c r="E12" i="3" s="1"/>
  <c r="E10" i="3" s="1"/>
  <c r="J239" i="3"/>
  <c r="E271" i="3"/>
  <c r="J458" i="3"/>
  <c r="I284" i="3"/>
  <c r="O216" i="1"/>
  <c r="R217" i="1"/>
  <c r="G133" i="3"/>
  <c r="I135" i="3"/>
  <c r="J194" i="3"/>
  <c r="O160" i="1"/>
  <c r="I214" i="3"/>
  <c r="J199" i="3"/>
  <c r="J438" i="3"/>
  <c r="E291" i="3"/>
  <c r="E290" i="3" s="1"/>
  <c r="G338" i="3"/>
  <c r="O88" i="1"/>
  <c r="R88" i="1" s="1"/>
  <c r="O128" i="1"/>
  <c r="O162" i="1"/>
  <c r="O173" i="1"/>
  <c r="O94" i="1"/>
  <c r="R94" i="1" s="1"/>
  <c r="O169" i="1"/>
  <c r="R169" i="1" s="1"/>
  <c r="P15" i="1"/>
  <c r="O104" i="1"/>
  <c r="R104" i="1" s="1"/>
  <c r="O100" i="1"/>
  <c r="R100" i="1" s="1"/>
  <c r="N170" i="1"/>
  <c r="N169" i="1" s="1"/>
  <c r="N116" i="1"/>
  <c r="N183" i="1"/>
  <c r="N112" i="1"/>
  <c r="N117" i="1"/>
  <c r="N123" i="1"/>
  <c r="N127" i="1"/>
  <c r="N115" i="1"/>
  <c r="N147" i="1"/>
  <c r="N145" i="1" s="1"/>
  <c r="N144" i="1" s="1"/>
  <c r="N110" i="1"/>
  <c r="N125" i="1"/>
  <c r="N154" i="1"/>
  <c r="N129" i="1"/>
  <c r="N128" i="1" s="1"/>
  <c r="N163" i="1"/>
  <c r="N162" i="1" s="1"/>
  <c r="N187" i="1"/>
  <c r="N186" i="1" s="1"/>
  <c r="N185" i="1"/>
  <c r="N178" i="1"/>
  <c r="N103" i="1"/>
  <c r="N102" i="1" s="1"/>
  <c r="N122" i="1"/>
  <c r="N133" i="1"/>
  <c r="N155" i="1"/>
  <c r="N124" i="1"/>
  <c r="N192" i="1"/>
  <c r="N191" i="1" s="1"/>
  <c r="N190" i="1" s="1"/>
  <c r="N179" i="1"/>
  <c r="N101" i="1"/>
  <c r="N100" i="1" s="1"/>
  <c r="N158" i="1"/>
  <c r="N157" i="1" s="1"/>
  <c r="N114" i="1"/>
  <c r="N132" i="1"/>
  <c r="N151" i="1"/>
  <c r="N149" i="1" s="1"/>
  <c r="N148" i="1" s="1"/>
  <c r="N105" i="1"/>
  <c r="N104" i="1" s="1"/>
  <c r="O108" i="1"/>
  <c r="O153" i="1"/>
  <c r="R153" i="1" s="1"/>
  <c r="O208" i="1"/>
  <c r="O204" i="1" s="1"/>
  <c r="O24" i="1" s="1"/>
  <c r="R24" i="1" s="1"/>
  <c r="O64" i="1"/>
  <c r="R64" i="1" s="1"/>
  <c r="O197" i="1"/>
  <c r="O23" i="1" s="1"/>
  <c r="R23" i="1" s="1"/>
  <c r="O145" i="1"/>
  <c r="O180" i="1"/>
  <c r="O39" i="1"/>
  <c r="R39" i="1" s="1"/>
  <c r="N121" i="1"/>
  <c r="O54" i="1"/>
  <c r="R54" i="1" s="1"/>
  <c r="O75" i="1"/>
  <c r="R75" i="1" s="1"/>
  <c r="O113" i="1"/>
  <c r="O140" i="1"/>
  <c r="M197" i="1"/>
  <c r="M23" i="1" s="1"/>
  <c r="N208" i="1"/>
  <c r="N204" i="1" s="1"/>
  <c r="N24" i="1" s="1"/>
  <c r="L137" i="1"/>
  <c r="N75" i="1"/>
  <c r="K64" i="1"/>
  <c r="K61" i="1" s="1"/>
  <c r="K58" i="1" s="1"/>
  <c r="K54" i="1" s="1"/>
  <c r="N140" i="1"/>
  <c r="N137" i="1" s="1"/>
  <c r="N64" i="1"/>
  <c r="N39" i="1"/>
  <c r="N54" i="1"/>
  <c r="N197" i="1"/>
  <c r="N23" i="1" s="1"/>
  <c r="M39" i="1"/>
  <c r="O149" i="1"/>
  <c r="O121" i="1"/>
  <c r="Q121" i="1" s="1"/>
  <c r="R121" i="1" s="1"/>
  <c r="O131" i="1"/>
  <c r="M149" i="1"/>
  <c r="M148" i="1" s="1"/>
  <c r="M186" i="1"/>
  <c r="M173" i="1"/>
  <c r="M176" i="1"/>
  <c r="K190" i="1"/>
  <c r="K99" i="1"/>
  <c r="L76" i="1"/>
  <c r="M102" i="1"/>
  <c r="J137" i="1"/>
  <c r="K51" i="1"/>
  <c r="K80" i="1"/>
  <c r="M180" i="1"/>
  <c r="M160" i="1"/>
  <c r="J197" i="1"/>
  <c r="J23" i="1" s="1"/>
  <c r="J156" i="1"/>
  <c r="K48" i="1"/>
  <c r="K197" i="1"/>
  <c r="K23" i="1" s="1"/>
  <c r="J48" i="1"/>
  <c r="K107" i="1"/>
  <c r="J190" i="1"/>
  <c r="J64" i="1"/>
  <c r="J61" i="1" s="1"/>
  <c r="J58" i="1" s="1"/>
  <c r="J54" i="1" s="1"/>
  <c r="M169" i="1"/>
  <c r="M145" i="1"/>
  <c r="M144" i="1" s="1"/>
  <c r="M157" i="1"/>
  <c r="M162" i="1"/>
  <c r="L197" i="1"/>
  <c r="L23" i="1" s="1"/>
  <c r="M140" i="1"/>
  <c r="M128" i="1"/>
  <c r="K95" i="1"/>
  <c r="K137" i="1"/>
  <c r="K175" i="1"/>
  <c r="M108" i="1"/>
  <c r="M54" i="1"/>
  <c r="M130" i="1"/>
  <c r="J76" i="1"/>
  <c r="L190" i="1"/>
  <c r="J99" i="1"/>
  <c r="L99" i="1"/>
  <c r="L156" i="1"/>
  <c r="L175" i="1"/>
  <c r="J51" i="1"/>
  <c r="M190" i="1"/>
  <c r="J216" i="1"/>
  <c r="L80" i="1"/>
  <c r="L48" i="1"/>
  <c r="R218" i="1"/>
  <c r="M64" i="1"/>
  <c r="L64" i="1"/>
  <c r="K208" i="1"/>
  <c r="K204" i="1" s="1"/>
  <c r="K24" i="1" s="1"/>
  <c r="M119" i="1"/>
  <c r="L95" i="1"/>
  <c r="L208" i="1"/>
  <c r="L204" i="1" s="1"/>
  <c r="L24" i="1" s="1"/>
  <c r="J80" i="1"/>
  <c r="J107" i="1"/>
  <c r="J175" i="1"/>
  <c r="K157" i="1"/>
  <c r="M153" i="1"/>
  <c r="M208" i="1"/>
  <c r="M204" i="1" s="1"/>
  <c r="M24" i="1" s="1"/>
  <c r="L51" i="1"/>
  <c r="L107" i="1"/>
  <c r="M113" i="1"/>
  <c r="J208" i="1"/>
  <c r="J204" i="1" s="1"/>
  <c r="J24" i="1" s="1"/>
  <c r="J25" i="1" s="1"/>
  <c r="G10" i="3"/>
  <c r="J10" i="3" s="1"/>
  <c r="E414" i="3"/>
  <c r="M75" i="1"/>
  <c r="I139" i="3"/>
  <c r="E176" i="3"/>
  <c r="E133" i="3"/>
  <c r="K76" i="1"/>
  <c r="J375" i="3"/>
  <c r="R180" i="1" l="1"/>
  <c r="R160" i="1"/>
  <c r="R140" i="1"/>
  <c r="Q137" i="1"/>
  <c r="R145" i="1"/>
  <c r="Q144" i="1"/>
  <c r="R173" i="1"/>
  <c r="Q172" i="1"/>
  <c r="R113" i="1"/>
  <c r="R162" i="1"/>
  <c r="R108" i="1"/>
  <c r="R128" i="1"/>
  <c r="J8" i="4"/>
  <c r="L8" i="4" s="1"/>
  <c r="P119" i="1"/>
  <c r="O119" i="1"/>
  <c r="J133" i="3"/>
  <c r="F431" i="3"/>
  <c r="I431" i="3" s="1"/>
  <c r="I432" i="3"/>
  <c r="F399" i="3"/>
  <c r="I399" i="3" s="1"/>
  <c r="I400" i="3"/>
  <c r="F375" i="3"/>
  <c r="I375" i="3" s="1"/>
  <c r="I376" i="3"/>
  <c r="F194" i="3"/>
  <c r="F178" i="3" s="1"/>
  <c r="I102" i="3"/>
  <c r="F101" i="3"/>
  <c r="I101" i="3" s="1"/>
  <c r="F167" i="3"/>
  <c r="I167" i="3" s="1"/>
  <c r="I171" i="3"/>
  <c r="E336" i="3"/>
  <c r="G42" i="3"/>
  <c r="G499" i="3" s="1"/>
  <c r="F472" i="3"/>
  <c r="I472" i="3" s="1"/>
  <c r="I473" i="3"/>
  <c r="I222" i="3"/>
  <c r="F221" i="3"/>
  <c r="F418" i="3"/>
  <c r="I424" i="3"/>
  <c r="F12" i="3"/>
  <c r="I16" i="3"/>
  <c r="F155" i="3"/>
  <c r="I156" i="3"/>
  <c r="J44" i="3"/>
  <c r="J42" i="3"/>
  <c r="O144" i="1"/>
  <c r="G336" i="3"/>
  <c r="J336" i="3" s="1"/>
  <c r="F325" i="3"/>
  <c r="I325" i="3" s="1"/>
  <c r="I327" i="3"/>
  <c r="J176" i="3"/>
  <c r="F389" i="3"/>
  <c r="I390" i="3"/>
  <c r="F228" i="3"/>
  <c r="I228" i="3" s="1"/>
  <c r="R216" i="1"/>
  <c r="F255" i="3"/>
  <c r="I259" i="3"/>
  <c r="O137" i="1"/>
  <c r="O172" i="1"/>
  <c r="E267" i="3"/>
  <c r="E253" i="3" s="1"/>
  <c r="E499" i="3" s="1"/>
  <c r="E8" i="3" s="1"/>
  <c r="I490" i="3"/>
  <c r="J490" i="3"/>
  <c r="G488" i="3"/>
  <c r="F48" i="3"/>
  <c r="I49" i="3"/>
  <c r="I307" i="3"/>
  <c r="F306" i="3"/>
  <c r="I351" i="3"/>
  <c r="J267" i="3"/>
  <c r="H253" i="3"/>
  <c r="J253" i="3" s="1"/>
  <c r="F267" i="3"/>
  <c r="I267" i="3" s="1"/>
  <c r="F162" i="3"/>
  <c r="I162" i="3" s="1"/>
  <c r="I163" i="3"/>
  <c r="I38" i="3"/>
  <c r="F31" i="3"/>
  <c r="F366" i="3"/>
  <c r="I366" i="3" s="1"/>
  <c r="I367" i="3"/>
  <c r="J210" i="3"/>
  <c r="I240" i="3"/>
  <c r="F239" i="3"/>
  <c r="I239" i="3" s="1"/>
  <c r="J338" i="3"/>
  <c r="O16" i="1"/>
  <c r="R16" i="1" s="1"/>
  <c r="O148" i="1"/>
  <c r="P14" i="1"/>
  <c r="O152" i="1"/>
  <c r="R152" i="1" s="1"/>
  <c r="O176" i="1"/>
  <c r="N108" i="1"/>
  <c r="N130" i="1"/>
  <c r="N153" i="1"/>
  <c r="N152" i="1" s="1"/>
  <c r="N180" i="1"/>
  <c r="N156" i="1"/>
  <c r="N99" i="1"/>
  <c r="N113" i="1"/>
  <c r="N119" i="1"/>
  <c r="N176" i="1"/>
  <c r="O191" i="1"/>
  <c r="O186" i="1"/>
  <c r="O133" i="1"/>
  <c r="Q133" i="1" s="1"/>
  <c r="R133" i="1" s="1"/>
  <c r="O25" i="1"/>
  <c r="R25" i="1" s="1"/>
  <c r="M25" i="1"/>
  <c r="O38" i="1"/>
  <c r="R38" i="1" s="1"/>
  <c r="N38" i="1"/>
  <c r="N15" i="1" s="1"/>
  <c r="N14" i="1" s="1"/>
  <c r="K171" i="1"/>
  <c r="K19" i="1" s="1"/>
  <c r="K39" i="1"/>
  <c r="N25" i="1"/>
  <c r="K25" i="1"/>
  <c r="M172" i="1"/>
  <c r="L75" i="1"/>
  <c r="M175" i="1"/>
  <c r="M99" i="1"/>
  <c r="J75" i="1"/>
  <c r="L98" i="1"/>
  <c r="L18" i="1" s="1"/>
  <c r="L25" i="1"/>
  <c r="L171" i="1"/>
  <c r="L19" i="1" s="1"/>
  <c r="M156" i="1"/>
  <c r="J171" i="1"/>
  <c r="J19" i="1" s="1"/>
  <c r="J39" i="1"/>
  <c r="J98" i="1"/>
  <c r="J18" i="1" s="1"/>
  <c r="M137" i="1"/>
  <c r="K94" i="1"/>
  <c r="K16" i="1" s="1"/>
  <c r="L94" i="1"/>
  <c r="L16" i="1" s="1"/>
  <c r="J28" i="1"/>
  <c r="M107" i="1"/>
  <c r="M152" i="1"/>
  <c r="L39" i="1"/>
  <c r="K156" i="1"/>
  <c r="L61" i="1"/>
  <c r="M38" i="1"/>
  <c r="I194" i="3"/>
  <c r="K75" i="1"/>
  <c r="R144" i="1" l="1"/>
  <c r="R172" i="1"/>
  <c r="R137" i="1"/>
  <c r="O157" i="1"/>
  <c r="O156" i="1" s="1"/>
  <c r="J7" i="4"/>
  <c r="L7" i="4" s="1"/>
  <c r="Q158" i="1"/>
  <c r="R158" i="1" s="1"/>
  <c r="I255" i="3"/>
  <c r="F302" i="3"/>
  <c r="I302" i="3" s="1"/>
  <c r="I306" i="3"/>
  <c r="I488" i="3"/>
  <c r="J488" i="3"/>
  <c r="I12" i="3"/>
  <c r="F338" i="3"/>
  <c r="H499" i="3"/>
  <c r="H8" i="3" s="1"/>
  <c r="I155" i="3"/>
  <c r="F144" i="3"/>
  <c r="I418" i="3"/>
  <c r="F414" i="3"/>
  <c r="I414" i="3" s="1"/>
  <c r="F27" i="3"/>
  <c r="I27" i="3" s="1"/>
  <c r="I31" i="3"/>
  <c r="I48" i="3"/>
  <c r="F44" i="3"/>
  <c r="I389" i="3"/>
  <c r="F371" i="3"/>
  <c r="I371" i="3" s="1"/>
  <c r="F210" i="3"/>
  <c r="O190" i="1"/>
  <c r="O130" i="1"/>
  <c r="O107" i="1" s="1"/>
  <c r="O102" i="1"/>
  <c r="R102" i="1" s="1"/>
  <c r="O15" i="1"/>
  <c r="R15" i="1" s="1"/>
  <c r="N175" i="1"/>
  <c r="N171" i="1" s="1"/>
  <c r="N19" i="1" s="1"/>
  <c r="O175" i="1"/>
  <c r="N107" i="1"/>
  <c r="N98" i="1" s="1"/>
  <c r="N18" i="1" s="1"/>
  <c r="P131" i="1"/>
  <c r="Q131" i="1" s="1"/>
  <c r="R131" i="1" s="1"/>
  <c r="J38" i="1"/>
  <c r="J15" i="1" s="1"/>
  <c r="J20" i="1" s="1"/>
  <c r="J30" i="1" s="1"/>
  <c r="M171" i="1"/>
  <c r="M98" i="1"/>
  <c r="M18" i="1" s="1"/>
  <c r="L58" i="1"/>
  <c r="K98" i="1"/>
  <c r="K18" i="1" s="1"/>
  <c r="F176" i="3"/>
  <c r="I178" i="3"/>
  <c r="M15" i="1"/>
  <c r="G8" i="3"/>
  <c r="K38" i="1"/>
  <c r="J499" i="3" l="1"/>
  <c r="F42" i="3"/>
  <c r="I42" i="3" s="1"/>
  <c r="I44" i="3"/>
  <c r="N17" i="1"/>
  <c r="I210" i="3"/>
  <c r="F208" i="3"/>
  <c r="I208" i="3" s="1"/>
  <c r="I144" i="3"/>
  <c r="F133" i="3"/>
  <c r="I133" i="3" s="1"/>
  <c r="I338" i="3"/>
  <c r="F336" i="3"/>
  <c r="I336" i="3" s="1"/>
  <c r="F10" i="3"/>
  <c r="I10" i="3" s="1"/>
  <c r="F253" i="3"/>
  <c r="I253" i="3" s="1"/>
  <c r="O171" i="1"/>
  <c r="O99" i="1"/>
  <c r="R99" i="1" s="1"/>
  <c r="O14" i="1"/>
  <c r="R14" i="1" s="1"/>
  <c r="N20" i="1"/>
  <c r="N30" i="1" s="1"/>
  <c r="P149" i="1"/>
  <c r="P130" i="1"/>
  <c r="P107" i="1" s="1"/>
  <c r="P157" i="1"/>
  <c r="M19" i="1"/>
  <c r="L54" i="1"/>
  <c r="J8" i="3"/>
  <c r="K15" i="1"/>
  <c r="M14" i="1"/>
  <c r="I176" i="3"/>
  <c r="O98" i="1" l="1"/>
  <c r="O18" i="1" s="1"/>
  <c r="P176" i="1"/>
  <c r="F499" i="3"/>
  <c r="I499" i="3" s="1"/>
  <c r="R149" i="1"/>
  <c r="O19" i="1"/>
  <c r="Q157" i="1"/>
  <c r="R157" i="1" s="1"/>
  <c r="Q130" i="1"/>
  <c r="R130" i="1" s="1"/>
  <c r="Q176" i="1"/>
  <c r="R176" i="1" s="1"/>
  <c r="P148" i="1"/>
  <c r="Q149" i="1"/>
  <c r="P186" i="1"/>
  <c r="P191" i="1"/>
  <c r="P156" i="1"/>
  <c r="M20" i="1"/>
  <c r="M30" i="1" s="1"/>
  <c r="M17" i="1"/>
  <c r="L38" i="1"/>
  <c r="F8" i="3"/>
  <c r="I8" i="3" s="1"/>
  <c r="K20" i="1"/>
  <c r="Q148" i="1" l="1"/>
  <c r="Q156" i="1"/>
  <c r="R156" i="1" s="1"/>
  <c r="Q119" i="1"/>
  <c r="R119" i="1" s="1"/>
  <c r="P190" i="1"/>
  <c r="R148" i="1"/>
  <c r="O17" i="1"/>
  <c r="O20" i="1"/>
  <c r="P175" i="1"/>
  <c r="Q191" i="1"/>
  <c r="R191" i="1" s="1"/>
  <c r="Q186" i="1"/>
  <c r="R186" i="1" s="1"/>
  <c r="L15" i="1"/>
  <c r="K30" i="1"/>
  <c r="Q175" i="1" l="1"/>
  <c r="R175" i="1" s="1"/>
  <c r="Q107" i="1"/>
  <c r="R107" i="1" s="1"/>
  <c r="Q190" i="1"/>
  <c r="R190" i="1" s="1"/>
  <c r="P171" i="1"/>
  <c r="P19" i="1" s="1"/>
  <c r="O30" i="1"/>
  <c r="P98" i="1"/>
  <c r="L20" i="1"/>
  <c r="Q98" i="1" l="1"/>
  <c r="R98" i="1" s="1"/>
  <c r="Q171" i="1"/>
  <c r="R171" i="1" s="1"/>
  <c r="P18" i="1"/>
  <c r="P17" i="1" s="1"/>
  <c r="L30" i="1"/>
  <c r="Q19" i="1" l="1"/>
  <c r="R19" i="1" s="1"/>
  <c r="Q18" i="1"/>
  <c r="R18" i="1" s="1"/>
  <c r="P20" i="1"/>
  <c r="Q20" i="1" l="1"/>
  <c r="R20" i="1" s="1"/>
  <c r="Q17" i="1"/>
  <c r="R17" i="1" s="1"/>
</calcChain>
</file>

<file path=xl/sharedStrings.xml><?xml version="1.0" encoding="utf-8"?>
<sst xmlns="http://schemas.openxmlformats.org/spreadsheetml/2006/main" count="1959" uniqueCount="690">
  <si>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</si>
  <si>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</si>
  <si>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</si>
  <si>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</si>
  <si>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</si>
  <si>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</si>
  <si>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</si>
  <si>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</si>
  <si>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Vlastiti izvori</t>
  </si>
  <si>
    <t>VIŠAK/MANJAK + NETO ZADUŽIVANJA/FINANCIRANJA + RASPOLOŽIVA SREDSTVA IZ PRETHODNIH GODINA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</si>
  <si>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</si>
  <si>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</si>
  <si>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</si>
  <si>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</si>
  <si>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</si>
  <si>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</si>
  <si>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</si>
  <si>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</si>
  <si>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</si>
  <si>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</si>
  <si>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</si>
  <si>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</si>
  <si>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</si>
  <si>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</si>
  <si>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</si>
  <si>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</si>
  <si>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</si>
  <si>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</si>
  <si>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</si>
  <si>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</si>
  <si>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</si>
  <si>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</si>
  <si>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</si>
  <si>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</si>
  <si>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</si>
  <si>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</si>
  <si>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</si>
  <si>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</si>
  <si>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</si>
  <si>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</si>
  <si>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</si>
  <si>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</si>
  <si>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</si>
  <si>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</si>
  <si>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</si>
  <si>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</si>
  <si>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</si>
  <si>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</si>
  <si>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</si>
  <si>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</si>
  <si>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</si>
  <si>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</si>
  <si>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</si>
  <si>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</si>
  <si>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</si>
  <si>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</si>
  <si>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</si>
  <si>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</si>
  <si>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</si>
  <si>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</si>
  <si>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</si>
  <si>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</si>
  <si>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</si>
  <si>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</si>
  <si>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</si>
  <si>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</si>
  <si>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</si>
  <si>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</si>
  <si>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</si>
  <si>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</si>
  <si>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</si>
  <si>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</si>
  <si>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</si>
  <si>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</si>
  <si>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</si>
  <si>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</si>
  <si>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</si>
  <si>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</si>
  <si>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</si>
  <si>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</si>
  <si>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</si>
  <si>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</si>
  <si>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</si>
  <si>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</si>
  <si>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</si>
  <si>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</si>
  <si>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</si>
  <si>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</si>
  <si>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</si>
  <si>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</si>
  <si>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</si>
  <si>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</si>
  <si>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</si>
  <si>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</si>
  <si>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</si>
  <si>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</si>
  <si>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</si>
  <si>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</si>
  <si>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</si>
  <si>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</si>
  <si>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</si>
  <si>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</si>
  <si>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</si>
  <si>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</si>
  <si>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</si>
  <si>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</si>
  <si>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</si>
  <si>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</si>
  <si>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</si>
  <si>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</si>
  <si>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</si>
  <si>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</si>
  <si>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</si>
  <si>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</si>
  <si>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</si>
  <si>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</si>
  <si>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</si>
  <si>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</si>
  <si>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</si>
  <si>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</si>
  <si>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</si>
  <si>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</si>
  <si>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</si>
  <si>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</si>
  <si>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</si>
  <si>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</si>
  <si>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</si>
  <si>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</si>
  <si>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</si>
  <si>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</si>
  <si>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</si>
  <si>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</si>
  <si>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</si>
  <si>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</si>
  <si>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</si>
  <si>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</si>
  <si>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</si>
  <si>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</si>
  <si>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</si>
  <si>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</si>
  <si>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</si>
  <si>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</si>
  <si>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</si>
  <si>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</si>
  <si>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</si>
  <si>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</si>
  <si>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</si>
  <si>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</si>
  <si>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</si>
  <si>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</si>
  <si>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</si>
  <si>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</si>
  <si>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</si>
  <si>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</si>
  <si>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</si>
  <si>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</si>
  <si>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</si>
  <si>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</si>
  <si>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</si>
  <si>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</si>
  <si>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</si>
  <si>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</si>
  <si>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</si>
  <si>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</si>
  <si>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</si>
  <si>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</si>
  <si>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</si>
  <si>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</si>
  <si>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</si>
  <si>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</si>
  <si>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</si>
  <si>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</si>
  <si>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</si>
  <si>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</si>
  <si>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</si>
  <si>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</si>
  <si>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</si>
  <si>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</si>
  <si>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</si>
  <si>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</si>
  <si>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</si>
  <si>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</si>
  <si>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</si>
  <si>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</si>
  <si>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</si>
  <si>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</si>
  <si>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</si>
  <si>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</si>
  <si>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</si>
  <si>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</si>
  <si>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</si>
  <si>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</si>
  <si>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</si>
  <si>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</si>
  <si>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</si>
  <si>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</si>
  <si>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</si>
  <si>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</si>
  <si>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</si>
  <si>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</si>
  <si>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</si>
  <si>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</si>
  <si>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</si>
  <si>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</si>
  <si>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</si>
  <si>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</si>
  <si>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</si>
  <si>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</si>
  <si>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</si>
  <si>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</si>
  <si>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</si>
  <si>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</si>
  <si>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</si>
  <si>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</si>
  <si>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</si>
  <si>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</si>
  <si>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</si>
  <si>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</si>
  <si>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</si>
  <si>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</si>
  <si>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</si>
  <si>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</si>
  <si>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</si>
  <si>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</si>
  <si>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</si>
  <si>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</si>
  <si>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</si>
  <si>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</si>
  <si>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</si>
  <si>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</si>
  <si>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</si>
  <si>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</si>
  <si>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</si>
  <si>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</si>
  <si>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</si>
  <si>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</si>
  <si>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</si>
  <si>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</si>
  <si>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</si>
  <si>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</si>
  <si>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</si>
  <si>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</si>
  <si>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</si>
  <si>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</si>
  <si>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</si>
  <si>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</si>
  <si>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</si>
  <si>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</si>
  <si>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</si>
  <si>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</si>
  <si>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</si>
  <si>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</si>
  <si>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</si>
  <si>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</si>
  <si>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</si>
  <si>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</si>
  <si>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</si>
  <si>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</si>
  <si>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</si>
  <si>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</si>
  <si>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</si>
  <si>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</si>
  <si>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</si>
  <si>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</si>
  <si>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</si>
  <si>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</si>
  <si>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</si>
  <si>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</si>
  <si>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</si>
  <si>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</si>
  <si>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</si>
  <si>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</si>
  <si>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</si>
  <si>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</si>
  <si>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</si>
  <si>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</si>
  <si>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</si>
  <si>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</si>
  <si>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</si>
  <si>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</si>
  <si>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</si>
  <si>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</si>
  <si>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</si>
  <si>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</si>
  <si>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</si>
  <si>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</si>
  <si>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</si>
  <si>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</si>
  <si>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</si>
  <si>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</si>
  <si>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</si>
  <si>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</si>
  <si>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</si>
  <si>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</si>
  <si>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</si>
  <si>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</si>
  <si>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</si>
  <si>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</si>
  <si>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</si>
  <si>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</si>
  <si>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</si>
  <si>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</si>
  <si>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</si>
  <si>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</si>
  <si>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</si>
  <si>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</si>
  <si>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</si>
  <si>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</si>
  <si>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</si>
  <si>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</si>
  <si>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</si>
  <si>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</si>
  <si>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</si>
  <si>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</si>
  <si>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</si>
  <si>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</si>
  <si>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</si>
  <si>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</si>
  <si>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</si>
  <si>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</si>
  <si>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</si>
  <si>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</si>
  <si>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</si>
  <si>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</si>
  <si>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</si>
  <si>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</si>
  <si>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</si>
  <si>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</si>
  <si>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</si>
  <si>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</si>
  <si>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</si>
  <si>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</si>
  <si>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</si>
  <si>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</si>
  <si>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</si>
  <si>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</si>
  <si>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</si>
  <si>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</si>
  <si>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</si>
  <si>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</si>
  <si>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</si>
  <si>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</si>
  <si>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</si>
  <si>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</si>
  <si>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</si>
  <si>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</si>
  <si>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</si>
  <si>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</si>
  <si>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</si>
  <si>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</si>
  <si>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</si>
  <si>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</si>
  <si>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</si>
  <si>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</si>
  <si>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</si>
  <si>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</si>
  <si>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</si>
  <si>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</si>
  <si>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</si>
  <si>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</si>
  <si>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PRIHODI UKUPNO</t>
  </si>
  <si>
    <t>RASHODI UKUPNO</t>
  </si>
  <si>
    <t>Naknade troš. osobama izvan radnog odnosa</t>
  </si>
  <si>
    <t>Rashodi za dodatna ulaganja na nefin. imovini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</si>
  <si>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</si>
  <si>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</si>
  <si>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</si>
  <si>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</si>
  <si>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</si>
  <si>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</si>
  <si>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</si>
  <si>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</si>
  <si>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</si>
  <si>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</si>
  <si>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</si>
  <si>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</si>
  <si>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</si>
  <si>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</si>
  <si>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</si>
  <si>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Kapitalne pomoći iz državnog proračuna temeljem prijenosa EU sredstava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</si>
  <si>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</si>
  <si>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</si>
  <si>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</si>
  <si>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</si>
  <si>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</si>
  <si>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</si>
  <si>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</si>
  <si>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</si>
  <si>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</si>
  <si>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</si>
  <si>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</si>
  <si>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</si>
  <si>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</si>
  <si>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</si>
  <si>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</si>
  <si>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</si>
  <si>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</si>
  <si>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</si>
  <si>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</si>
  <si>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</si>
  <si>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</si>
  <si>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</si>
  <si>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</si>
  <si>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</si>
  <si>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Ostala nematerijalna prizvedena imovina </t>
  </si>
  <si>
    <t>Službena , radna i zaštitna odjeća</t>
  </si>
  <si>
    <t>FUNKCIJSKA KLASIFIKACIJA: 06 USLUGE UNAPREĐENJA STANOVANJA I ZAJEDNICE</t>
  </si>
  <si>
    <t>FUN.KLASIF. 06 USLUGE UNAPREĐENJA STANOVANJA I ZAJED.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</si>
  <si>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</si>
  <si>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</si>
  <si>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</si>
  <si>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</si>
  <si>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</si>
  <si>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</si>
  <si>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</si>
  <si>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Tekuće donacije vatrogastvu</t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</si>
  <si>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</si>
  <si>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</si>
  <si>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</si>
  <si>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</si>
  <si>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</si>
  <si>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</si>
  <si>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</si>
  <si>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</si>
  <si>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</si>
  <si>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</si>
  <si>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 xml:space="preserve">AKTIVNOST 02: VETERINARSKE USLUGE </t>
  </si>
  <si>
    <t>AKTIVNOST 01: ZAŠTITA OD POŽARA</t>
  </si>
  <si>
    <t>AKTIVNOST 02: PLAN ZAŠTITE OD POŽARA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</si>
  <si>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</si>
  <si>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</si>
  <si>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</si>
  <si>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</si>
  <si>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</si>
  <si>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</si>
  <si>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</si>
  <si>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</si>
  <si>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</si>
  <si>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</si>
  <si>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</si>
  <si>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</si>
  <si>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</si>
  <si>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RAZDJEL 001: OPĆINA GORNJA VRBA</t>
  </si>
  <si>
    <t>GLAVA 01: PROGRAMI JEDINSTVENOG UPR.ODJELA, OPĆINSKOG NAČELNIKA I OPĆINSKOG VIJEĆA</t>
  </si>
  <si>
    <t>PROGRAM 03: PROVOĐENJE LOKALNIH IZBORA</t>
  </si>
  <si>
    <t>T001010201</t>
  </si>
  <si>
    <t>T001010301</t>
  </si>
  <si>
    <t>T001010401</t>
  </si>
  <si>
    <t>T001010501</t>
  </si>
  <si>
    <t>T001010601</t>
  </si>
  <si>
    <t>T001010701</t>
  </si>
  <si>
    <t>T001010801</t>
  </si>
  <si>
    <t>T001010901</t>
  </si>
  <si>
    <t>AKTIVNOST 01: DERATIZACIJA i DEZINSEKCIJA</t>
  </si>
  <si>
    <t>T001011001</t>
  </si>
  <si>
    <t>T001011002</t>
  </si>
  <si>
    <t>T001011101</t>
  </si>
  <si>
    <t>T001011201</t>
  </si>
  <si>
    <t>T001011301</t>
  </si>
  <si>
    <t>T001011601</t>
  </si>
  <si>
    <t>T001011602</t>
  </si>
  <si>
    <t>T001011802</t>
  </si>
  <si>
    <t>K001011901</t>
  </si>
  <si>
    <t>K001011902</t>
  </si>
  <si>
    <t>K001012004</t>
  </si>
  <si>
    <t>K001012008</t>
  </si>
  <si>
    <t>T001012101</t>
  </si>
  <si>
    <t>AKTIVNOST 01: POTICANJE PROIZVODNIH DJELAT. U GOSPODARSKOJ ZONI</t>
  </si>
  <si>
    <t>AKTIVNOST 01: REDOVNO DJELOVANJE SPORT. UDRUGA</t>
  </si>
  <si>
    <t>AKTIVNOST 02: NABAVKA POSUDA ZA ODVOJENO PRIKUPLJANJE OTPADA</t>
  </si>
  <si>
    <t>PROJEKT 04: POMOĆI TRG. DRUŠ. U JAVNOM SEKTORU ZA IZGRADNJU KOMUNALNO-VODNIH GRAĐEVINA</t>
  </si>
  <si>
    <t>FUNK. KLASIF.: 06 USLUGE UNAPREĐ. STANOVANJA I ZAJEDNICE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</si>
  <si>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</si>
  <si>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</si>
  <si>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</si>
  <si>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</si>
  <si>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</si>
  <si>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II. POSEBNI DIO PRORAČUNA - OPĆINA GORNJA VRBA</t>
  </si>
  <si>
    <t>2023.</t>
  </si>
  <si>
    <t>Prihodi od pruženih usluga</t>
  </si>
  <si>
    <t>Prihodi od pruženih usluga (10% NUV)</t>
  </si>
  <si>
    <t>Subvencije poljoprivrednicima i obrtnicima - poticanje poduzetništva</t>
  </si>
  <si>
    <t>Rashodi za dodatna ulaganja na nefinancijskoj imovini</t>
  </si>
  <si>
    <t>Tekuće donacije udrugama (CK)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</si>
  <si>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</si>
  <si>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</si>
  <si>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Kapitalne pom.trg.društvima unutar javnog sektora</t>
  </si>
  <si>
    <t>Otplata glavnice primljenih zajmova od trgovačkih društava izvan jav. sek.</t>
  </si>
  <si>
    <t>Prihodi od zakupa zemljišta u vl. općine</t>
  </si>
  <si>
    <t>AKTIVNOST 01: PLAĆE ZAPOSLENIH</t>
  </si>
  <si>
    <t>T001012401</t>
  </si>
  <si>
    <t>Naknade za prijevoz</t>
  </si>
  <si>
    <t>PROJEKT 02: IZGRADNJA RASVJETE NA ŠRC "GORAN JURIĆ", GORNJA VRBA</t>
  </si>
  <si>
    <t>AKTIVNOST 01: RAD OPĆ. VIJEĆA , OPĆ.NAČELNIKA</t>
  </si>
  <si>
    <t>1 - Opći prihodi i primici</t>
  </si>
  <si>
    <t>2 - Doprinosi</t>
  </si>
  <si>
    <t>3 - Vlastiti prihodi</t>
  </si>
  <si>
    <t>4 - Prihodi za posebne namjene</t>
  </si>
  <si>
    <t>5 - Pomoći</t>
  </si>
  <si>
    <t>6 - Donacije</t>
  </si>
  <si>
    <t>7 - Prihodi od prodaje ili zamjene nefinancijske imovine i naknade s naslova osiguranja</t>
  </si>
  <si>
    <t>ŠIFRARNIK IZVORA FINANCIRANJA:</t>
  </si>
  <si>
    <t>IZVOR FINANCIRANJA</t>
  </si>
  <si>
    <t>I. OPĆI DIO - SAŽETAK</t>
  </si>
  <si>
    <t>PROGRAM 01: JAVNA UPRAVA I ADMINISTRACIJA</t>
  </si>
  <si>
    <t>Intelektualne i osobne usluge (IN KONZALTING)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</si>
  <si>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EURIMA)</t>
    </r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</si>
  <si>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(u KUNAMA)</t>
    </r>
  </si>
  <si>
    <t>Naknade u novcu - dar roditeljima za novorođenu djecu</t>
  </si>
  <si>
    <t>Naknade u novcu - pomoć roditeljima srednjoškolaca</t>
  </si>
  <si>
    <t>Naknade u novcu - pomoć mladim obiteljima za kupnju nekretnine</t>
  </si>
  <si>
    <t>Naknade u naravi - sufinanciranje boravka djece u vrtiću</t>
  </si>
  <si>
    <t>Naknade u naravi - sufinanciranje priključaka na kanalizaciju</t>
  </si>
  <si>
    <t>Napomena: Redak UKUPAN DONOS VIŠKA/MANJKA IZ PRETHODNE(IH) GODINA služi kao informacija i ne uzima se u obzir kod uravnoteženja proračuna, već se proračun uravnotežuje retkom DIO KOJI ĆE SE RASPOREDITI/POKRITI U RAZDOBLJU.</t>
  </si>
  <si>
    <t>A)  SAŽETAK RAČUNA PRIHODA I RASHODA</t>
  </si>
  <si>
    <t>B)  SAŽETAK RAČUNA FINANCIRANJA</t>
  </si>
  <si>
    <t>C) PRENESENI VIŠAK ILI PRENESENI MANJAK I VIŠEGODIŠNJI PLAN URAVNOTEŽENJA</t>
  </si>
  <si>
    <t>PROGRAM 02: REDOVNA DJELATNOST PREDSTAVNIČKIH I              IZVRŠNIH TIJELA JLS</t>
  </si>
  <si>
    <r>
      <t>PROJEKCIJA    ZA 2025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</si>
  <si>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AKTIVNOST 02: SUFINANCIRANJE TROŠKOVA</t>
  </si>
  <si>
    <t>AKTIVNOST 03: HUMANITARNA SKRB KROZ UDRUGE GRAĐANA</t>
  </si>
  <si>
    <t>AKTIVNOST 04: JEDNOKRATNA PRAVA IZ ZAKONA O PRAVIMA HRV. BRANITELJA I ČLANOVA NJIHOVIH OBITELJI</t>
  </si>
  <si>
    <t>T001010302</t>
  </si>
  <si>
    <t>T001010702</t>
  </si>
  <si>
    <t>T001010703</t>
  </si>
  <si>
    <t>T001010704</t>
  </si>
  <si>
    <t>T001010902</t>
  </si>
  <si>
    <t>T001011003</t>
  </si>
  <si>
    <t>T001011004</t>
  </si>
  <si>
    <t>T001011202</t>
  </si>
  <si>
    <r>
      <t xml:space="preserve">Izvor prihoda: </t>
    </r>
    <r>
      <rPr>
        <b/>
        <sz val="11"/>
        <rFont val="Arial"/>
        <family val="2"/>
        <charset val="238"/>
      </rPr>
      <t>561 Pomoći - ESF</t>
    </r>
  </si>
  <si>
    <t>561 - ESF</t>
  </si>
  <si>
    <t>51</t>
  </si>
  <si>
    <t>521</t>
  </si>
  <si>
    <t>522</t>
  </si>
  <si>
    <t>523</t>
  </si>
  <si>
    <t>524</t>
  </si>
  <si>
    <t>4301</t>
  </si>
  <si>
    <t>4302</t>
  </si>
  <si>
    <t>4303</t>
  </si>
  <si>
    <t>4304</t>
  </si>
  <si>
    <t>4305</t>
  </si>
  <si>
    <t>4306</t>
  </si>
  <si>
    <t>31</t>
  </si>
  <si>
    <t>71</t>
  </si>
  <si>
    <t>11</t>
  </si>
  <si>
    <t>Naknada za korištenje nefin.imovine (sp.renta)</t>
  </si>
  <si>
    <t>43</t>
  </si>
  <si>
    <t>11,42</t>
  </si>
  <si>
    <t>8 - Namjenski primici od zaduživanja</t>
  </si>
  <si>
    <t>INDEKS 3/1*100</t>
  </si>
  <si>
    <t>T001011401</t>
  </si>
  <si>
    <t>T001011402</t>
  </si>
  <si>
    <t>T001011501</t>
  </si>
  <si>
    <t>T001011502</t>
  </si>
  <si>
    <t>T001011603</t>
  </si>
  <si>
    <t>T001011605</t>
  </si>
  <si>
    <t>T001011606</t>
  </si>
  <si>
    <t>T001011607</t>
  </si>
  <si>
    <t>T001011608</t>
  </si>
  <si>
    <t>T001011609</t>
  </si>
  <si>
    <t>T001011610</t>
  </si>
  <si>
    <t>T001011611</t>
  </si>
  <si>
    <t>T001011612</t>
  </si>
  <si>
    <t>T001011613</t>
  </si>
  <si>
    <t>K001011701</t>
  </si>
  <si>
    <t>K001011702</t>
  </si>
  <si>
    <t>K001011703</t>
  </si>
  <si>
    <t>K001011704</t>
  </si>
  <si>
    <t>K001011705</t>
  </si>
  <si>
    <t>K001011801</t>
  </si>
  <si>
    <t>K001011802</t>
  </si>
  <si>
    <t>K001011803</t>
  </si>
  <si>
    <t>K001011804</t>
  </si>
  <si>
    <t>K001011805</t>
  </si>
  <si>
    <t>K001011806</t>
  </si>
  <si>
    <t>K001011808</t>
  </si>
  <si>
    <t>K001011810</t>
  </si>
  <si>
    <t>K001011811</t>
  </si>
  <si>
    <t>K001011812</t>
  </si>
  <si>
    <t>T001011901</t>
  </si>
  <si>
    <t>T001011902</t>
  </si>
  <si>
    <t>T001012001</t>
  </si>
  <si>
    <t xml:space="preserve">2025.      </t>
  </si>
  <si>
    <t xml:space="preserve">Intelektualne i osobne usluge </t>
  </si>
  <si>
    <t xml:space="preserve">Rashodi za usluge </t>
  </si>
  <si>
    <t xml:space="preserve">Dodatna ulaganja na građevinskim objektima </t>
  </si>
  <si>
    <t>PROJEKT 05: ZACJEVLJENJE KANALA U ULICI VRB.ŽRTAVA, G.VRBA (SJEVERNA STRANA)</t>
  </si>
  <si>
    <t>Naknade građanima i kućanstvima u naravi - sufinanciranje školskih izleta i ljetovanja učenika, škole plivanja i terenske nastave</t>
  </si>
  <si>
    <t>Dodatna ulaganja za ostalu nefinancijsku imovinu</t>
  </si>
  <si>
    <t>Naknade u naravi - pomoć i njega u kući (Crveni križ), sufinanc. boravka u domovima za starije i nemoćne</t>
  </si>
  <si>
    <t>Izgradnja ceste na kčbr. 114/10 K.O.Vrba</t>
  </si>
  <si>
    <t>Kapitalne pomoći Proračuna iz drugih proračuna</t>
  </si>
  <si>
    <t>AKTIVNOST 02: PROMIDŽBA I VIDLJIVOST PROGRAMA</t>
  </si>
  <si>
    <t>FUNKC.KLASIF.: 06 USLUGE UNAPREĐ. STANOVANJA I ZAJEDNICE</t>
  </si>
  <si>
    <t xml:space="preserve">PROJEKT 06: IZGRADNJA KANALIZACIJE U SJEVERNOJ GOSPODARSKOJ ZONI </t>
  </si>
  <si>
    <t>K001011706</t>
  </si>
  <si>
    <t>K001011813</t>
  </si>
  <si>
    <t xml:space="preserve">AKTIVNOST 01:POMOĆ STARIJIM I NEMOĆNIM OSOBAMA  </t>
  </si>
  <si>
    <t xml:space="preserve">2025.           </t>
  </si>
  <si>
    <r>
      <t xml:space="preserve">PLAN ZA       </t>
    </r>
    <r>
      <rPr>
        <b/>
        <sz val="14"/>
        <rFont val="Arial"/>
        <family val="2"/>
        <charset val="238"/>
      </rPr>
      <t>2025.</t>
    </r>
    <r>
      <rPr>
        <sz val="14"/>
        <rFont val="Arial"/>
        <family val="2"/>
        <charset val="238"/>
      </rPr>
      <t xml:space="preserve">                          </t>
    </r>
  </si>
  <si>
    <t>AKTIVNOST 01: OSTALE TEKUĆE DONACIJE</t>
  </si>
  <si>
    <t>AKTIVNOST 01: SUFINANCIRANJE RADA PRIHVATILIŠTA ZA PSE</t>
  </si>
  <si>
    <t>,</t>
  </si>
  <si>
    <t>Dodatna ulaganja za nefinanc. imovinu</t>
  </si>
  <si>
    <t xml:space="preserve">AKTIVNOST 02: UREĐENJE GROBLJA NA PODRUČJU OPĆINE </t>
  </si>
  <si>
    <t>AKTIVNOST 01: LOKALNI IZBORI</t>
  </si>
  <si>
    <t>PROGRAM 04: SUBVENCIJE PODUZETNIŠTVU</t>
  </si>
  <si>
    <t>PROGRAM 05: PREDŠKOLSKI ODGOJ</t>
  </si>
  <si>
    <t>PROGRAM 06: OSNOVNO ŠKOLSTVO</t>
  </si>
  <si>
    <t>PROGRAM 07: RAD S DJECOM S POSEBNIM POTREBAMA</t>
  </si>
  <si>
    <t>PROGRAM 08: OSTALE DONACIJE U NOVCU</t>
  </si>
  <si>
    <t>PROGRAM 09: POMOĆI GRAĐANIMA I KUĆANSTVIMA</t>
  </si>
  <si>
    <t>PROGRAM 10: DODATNE USLUGE U ZDRAVSTVU I PREVENTIVA</t>
  </si>
  <si>
    <t>PROGRAM 11: ZAŠTITA ŽIVOTINJA</t>
  </si>
  <si>
    <t>PROGRAM 12: ZAŠTITA OD POŽARA I CIVILNA ZAŠTITA</t>
  </si>
  <si>
    <t>PROGRAM 13: SPORT</t>
  </si>
  <si>
    <t>PROGRAM 14: KULTURA</t>
  </si>
  <si>
    <t>PROGRAM 15: RELIGIJA</t>
  </si>
  <si>
    <t>PROGRAM 16: RAD UDRUGA GRAĐANA I POLIT.ORGANIZACIJA</t>
  </si>
  <si>
    <t>PROGRAM 17: ZAŠTITA OKOLIŠA</t>
  </si>
  <si>
    <t>PROGRAM 18: ODRŽAVANJE KOMUNALNE INFRASTRUKTURE</t>
  </si>
  <si>
    <t>PROGRAM 19: IZGRADNJA OBJEKATA KOMUNALNE INFRAST.</t>
  </si>
  <si>
    <t>PROGRAM 20: GRAĐEVINSKI OBJEKTI I JAVNE POVRŠINE</t>
  </si>
  <si>
    <t>AKTIVNOST 03: SUSTAV ZAŠTITE I SPAŠAVANJA - HGSS</t>
  </si>
  <si>
    <t>AKTIVNOST 04: CIVILNA ZAŠTITA - OPREMANJE POSTROJBE</t>
  </si>
  <si>
    <t>AKTIVNOST 05: PRIMJENA ZAKONA O ZAŠTITI    STANOVNIŠTVA I MATERIJALNIH DOBARA</t>
  </si>
  <si>
    <t>AKTIVNOST 04: NOGOSTUPI</t>
  </si>
  <si>
    <t xml:space="preserve">AKTIVNOST 05: JAVNE POVRŠINE </t>
  </si>
  <si>
    <t>AKTIVNOST 06: POLJSKI PUTEVI</t>
  </si>
  <si>
    <t xml:space="preserve">AKTIVNOST 08: NABAVKA I POSTAVLJANJE NATPISNIH PLOČA I PLOČA S NAZIVIMA ULICA </t>
  </si>
  <si>
    <t xml:space="preserve">AKTIVNOST 09: URBANI MOBILIJAR I PRIGODNO UKRAŠAVANJE </t>
  </si>
  <si>
    <t>AKTIVNOST 10: REKONSTRUKCIJA OPĆINSKOG TRGA (IDEJNI PROJEKT) I PARKINGA</t>
  </si>
  <si>
    <t>AKTIVNOST 11: SANACIJA KOLNIKA U UL.J.ODOBAŠIĆA U DONJOJ VRBI</t>
  </si>
  <si>
    <t>AKTIVNOST 12: SANACIJA KOLNIKA U UL.M.MESIĆA U GORNJOJ VRBI</t>
  </si>
  <si>
    <t>4320</t>
  </si>
  <si>
    <t>PROGRAM 22: "ZAŽELI III - podrška za život u zajednici",                                PROGRAM POMOĆI STARIJIM I NEMOĆNIM OSOBAMA</t>
  </si>
  <si>
    <t>PROGRAM 23: JAVNI RADOVI NA PODRUČJU OPĆINE GORNJA VRBA</t>
  </si>
  <si>
    <t>PROGRAM 21: PROSTORNO PLANIRANJE I STANJE U PROSTORU</t>
  </si>
  <si>
    <t xml:space="preserve">PROJEKT 01: IZRADA IV. IZMJENA I DOPUNA PPUO </t>
  </si>
  <si>
    <t xml:space="preserve">PROJEKT 02: IZRADA II. IZMJENA I DOPUNA UPU NASELJA GORNJA VRBA </t>
  </si>
  <si>
    <t>PROJEKT 03: IZGRADNJA PJEŠAČKE STAZE U SAVSKOJ ULICI U GORNJOJ VRBI</t>
  </si>
  <si>
    <t>PROJEKT 04: UREĐENJE JAVNIH POVRŠINA, DJ.IGRALIŠTA</t>
  </si>
  <si>
    <t>PROJEKT 05: IZGRADNJA NAVODNJAVANJA NOGOMETNOG IGRALIŠTA GORNJA VRBA</t>
  </si>
  <si>
    <r>
      <t xml:space="preserve">PROJEKT </t>
    </r>
    <r>
      <rPr>
        <b/>
        <sz val="12"/>
        <rFont val="Arial"/>
        <family val="2"/>
      </rPr>
      <t>06</t>
    </r>
    <r>
      <rPr>
        <b/>
        <sz val="12"/>
        <rFont val="Arial"/>
        <family val="2"/>
        <charset val="238"/>
      </rPr>
      <t>: IZGRADNJA MJESNOG GROBLJA GORNJA VRBA</t>
    </r>
  </si>
  <si>
    <t>PROJEKT 07: IZGRADNJA PARKIRALIŠTA KOD NOG.IGRALIŠTA U DONJOJ VRBI</t>
  </si>
  <si>
    <t>PROJEKT 08: IZGRADNJA BICIKLISTIČKE STAZE DONJA VRBA - SLAVONSKI BROD</t>
  </si>
  <si>
    <t>PROJEKT 09: UREĐENJE SPORTSKOREKREACIJSKOG ZEMLJIŠTA JUŽNO OD SJEV.GOSP.ZONE U G.VRBI</t>
  </si>
  <si>
    <t>PROJEKT 10: IZGRADNJA NOGOSTUPA U ULICI ZVONKA ŽULJEVIĆA, DONJA VRBA</t>
  </si>
  <si>
    <t xml:space="preserve">PROJEKT 11: IZGRADNJA BICIKLISTIČKE STAZE KROZ SJEVERNU GOSPODARSKU ZONU </t>
  </si>
  <si>
    <t xml:space="preserve">AKTIVNOST 07: NABAVKA I SADNJA STABALA NA JAVNOJ POVRŠINI </t>
  </si>
  <si>
    <t>Izvor prihoda: 01 Opći prihodi i primici</t>
  </si>
  <si>
    <t>Izvor prihoda: 01 Opći prihodi, 43 Prih. za pos.namjene</t>
  </si>
  <si>
    <t>Izvor prihoda: 01 Opći prihodi, 03 Vlastiti prihodi, 05 Pomoći</t>
  </si>
  <si>
    <t>Izvor prihoda:  01 Opći prihodi i primici, 05 Pomoći</t>
  </si>
  <si>
    <t>Izvor prihoda: 01 Opći prihodi, 05 Pomoći</t>
  </si>
  <si>
    <t>Izvor prihoda: 03 Vlastiti prihodi</t>
  </si>
  <si>
    <t xml:space="preserve">Izvor prihoda: 01 Opći prihodi i primici </t>
  </si>
  <si>
    <t>Izvor prihoda: 01 Opći prihodi i primici, 05 Pomoći</t>
  </si>
  <si>
    <t>Izvor prihoda: 43 Prihodi za posebne namjene</t>
  </si>
  <si>
    <t>Izvor prihoda: 02 Vlastiti prihodi, 05 Pomoći</t>
  </si>
  <si>
    <t>Izvor prihoda 01 Opći prihodi i primici</t>
  </si>
  <si>
    <t>Izvor prihoda: 05 Pomoći</t>
  </si>
  <si>
    <t>Izvor prihoda: 01 Opći prihodi i primici, 43 Prihodi za posebne namjene</t>
  </si>
  <si>
    <t>Izvor prihoda: 01 Opći prihodi i primici,  43 Prihodi za posebne namjene</t>
  </si>
  <si>
    <t>Izvor prihoda: 43 Prihodi za posebne namjene,05 Pomoći,</t>
  </si>
  <si>
    <t>Izvor prihoda: 01 Opći prihodi i primici, 43 Prihodi za posebne namjene,05 Pomoći</t>
  </si>
  <si>
    <t>Izvor prihoda:01 Opći prihodi i primici, 43 Prihodi za posebne namjene</t>
  </si>
  <si>
    <t>Izvor prihoda:01 Opći prihodi i primici, 05 Pomoći</t>
  </si>
  <si>
    <t>Izvor prihoda:  43 Prihodi za posebne namjene</t>
  </si>
  <si>
    <t>Izvor prihoda:  01 Opći prihodi i primici</t>
  </si>
  <si>
    <t>Izvor prihoda: 01- Opći prihodi i primici,  05- Pomoći</t>
  </si>
  <si>
    <r>
      <t xml:space="preserve">Izvor prihoda: </t>
    </r>
    <r>
      <rPr>
        <sz val="12"/>
        <rFont val="Arial"/>
        <family val="2"/>
        <charset val="238"/>
      </rPr>
      <t>05 - Pomoći</t>
    </r>
  </si>
  <si>
    <t>Izvor prihoda: 05 - Pomoći</t>
  </si>
  <si>
    <t xml:space="preserve">POVEĆANJE  /  SMANJENJE </t>
  </si>
  <si>
    <t>NOVI PLAN 2025.</t>
  </si>
  <si>
    <t>INDEKS 2/1*100</t>
  </si>
  <si>
    <t xml:space="preserve">POVEĆANJE/SMANJENJE                       </t>
  </si>
  <si>
    <t xml:space="preserve">NOVI PLAN ZA 2025.                    </t>
  </si>
  <si>
    <t>Ostale int. usluge -stručni nadzor</t>
  </si>
  <si>
    <t xml:space="preserve">Ostale int. usluge -Upravljanje projektom </t>
  </si>
  <si>
    <r>
      <rPr>
        <u/>
        <sz val="11"/>
        <rFont val="Arial"/>
        <family val="2"/>
        <charset val="238"/>
      </rPr>
      <t>Ostale int. usluge -U</t>
    </r>
    <r>
      <rPr>
        <sz val="11"/>
        <rFont val="Arial"/>
        <family val="2"/>
        <charset val="238"/>
      </rPr>
      <t xml:space="preserve">pravljanje projektom </t>
    </r>
  </si>
  <si>
    <t>Izgradnja ceste Galovska (J. Piškovića - Agatićeva)</t>
  </si>
  <si>
    <t>Izgradnja ceste Galovska (Do Prološčića))</t>
  </si>
  <si>
    <t>Izgradnja ceste Ulica 22. svibnja</t>
  </si>
  <si>
    <t>PROJEKT 01: OSIGURANJE ZEMLJIŠTA ZA IZGRADNJU GRAĐEVINSKIH OBJEKATA</t>
  </si>
  <si>
    <t xml:space="preserve">PROJEKT 03: MODERNIZACIJA NOGOSTUPA </t>
  </si>
  <si>
    <t>III. IZMJENE I DOPUNE PRORAČUNA ZA 2025. GODINU</t>
  </si>
  <si>
    <t>PROJEKT 07: ZACJEVLJENJE KANALA U ULICI ZVONKA ŽULJEVIĆA U DONJOJ VRBI</t>
  </si>
  <si>
    <t>PROJEKT 12: UREĐENJE JAVNIH POVRŠINA, OGRADE UZ PJEŠAČKE STAZE I PRILAZE, UREĐENJE POVRŠINA UZ CESTE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</si>
</sst>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6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u/>
      <sz val="1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1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4" fontId="6" fillId="0" borderId="0" xfId="0" applyNumberFormat="1" applyFont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wrapText="1"/>
    </xf>
    <xf numFmtId="3" fontId="6" fillId="0" borderId="15" xfId="0" applyNumberFormat="1" applyFont="1" applyBorder="1"/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wrapText="1"/>
    </xf>
    <xf numFmtId="3" fontId="7" fillId="0" borderId="18" xfId="0" applyNumberFormat="1" applyFont="1" applyBorder="1"/>
    <xf numFmtId="0" fontId="4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0" fontId="6" fillId="0" borderId="1" xfId="0" applyFont="1" applyBorder="1"/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wrapText="1"/>
    </xf>
    <xf numFmtId="3" fontId="2" fillId="2" borderId="23" xfId="0" applyNumberFormat="1" applyFont="1" applyFill="1" applyBorder="1"/>
    <xf numFmtId="0" fontId="0" fillId="2" borderId="0" xfId="0" applyFill="1"/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wrapText="1"/>
    </xf>
    <xf numFmtId="3" fontId="2" fillId="2" borderId="15" xfId="0" applyNumberFormat="1" applyFont="1" applyFill="1" applyBorder="1"/>
    <xf numFmtId="0" fontId="3" fillId="2" borderId="0" xfId="0" applyFont="1" applyFill="1"/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3" fontId="8" fillId="2" borderId="6" xfId="0" applyNumberFormat="1" applyFont="1" applyFill="1" applyBorder="1"/>
    <xf numFmtId="0" fontId="10" fillId="2" borderId="0" xfId="0" applyFont="1" applyFill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/>
    </xf>
    <xf numFmtId="0" fontId="8" fillId="2" borderId="6" xfId="0" applyFont="1" applyFill="1" applyBorder="1" applyAlignment="1">
      <alignment wrapText="1"/>
    </xf>
    <xf numFmtId="0" fontId="1" fillId="3" borderId="0" xfId="0" applyFont="1" applyFill="1"/>
    <xf numFmtId="0" fontId="2" fillId="4" borderId="16" xfId="0" applyFont="1" applyFill="1" applyBorder="1" applyAlignment="1">
      <alignment horizontal="left"/>
    </xf>
    <xf numFmtId="0" fontId="2" fillId="4" borderId="3" xfId="0" applyFont="1" applyFill="1" applyBorder="1" applyAlignment="1">
      <alignment wrapText="1"/>
    </xf>
    <xf numFmtId="3" fontId="2" fillId="4" borderId="3" xfId="0" applyNumberFormat="1" applyFont="1" applyFill="1" applyBorder="1"/>
    <xf numFmtId="0" fontId="1" fillId="4" borderId="0" xfId="0" applyFont="1" applyFill="1"/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3" fontId="2" fillId="3" borderId="15" xfId="0" applyNumberFormat="1" applyFont="1" applyFill="1" applyBorder="1"/>
    <xf numFmtId="0" fontId="10" fillId="4" borderId="0" xfId="0" applyFont="1" applyFill="1"/>
    <xf numFmtId="0" fontId="11" fillId="0" borderId="0" xfId="0" applyFont="1"/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3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5" borderId="26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6" borderId="26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7" borderId="18" xfId="0" applyFont="1" applyFill="1" applyBorder="1" applyAlignment="1">
      <alignment wrapText="1"/>
    </xf>
    <xf numFmtId="4" fontId="12" fillId="7" borderId="17" xfId="0" applyNumberFormat="1" applyFont="1" applyFill="1" applyBorder="1"/>
    <xf numFmtId="0" fontId="9" fillId="0" borderId="0" xfId="0" applyFont="1"/>
    <xf numFmtId="4" fontId="12" fillId="7" borderId="27" xfId="0" applyNumberFormat="1" applyFont="1" applyFill="1" applyBorder="1"/>
    <xf numFmtId="0" fontId="1" fillId="0" borderId="28" xfId="0" applyFont="1" applyBorder="1"/>
    <xf numFmtId="4" fontId="12" fillId="7" borderId="16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7" borderId="29" xfId="0" applyFont="1" applyFill="1" applyBorder="1"/>
    <xf numFmtId="4" fontId="12" fillId="7" borderId="29" xfId="0" applyNumberFormat="1" applyFont="1" applyFill="1" applyBorder="1"/>
    <xf numFmtId="4" fontId="12" fillId="7" borderId="18" xfId="0" applyNumberFormat="1" applyFont="1" applyFill="1" applyBorder="1"/>
    <xf numFmtId="4" fontId="12" fillId="7" borderId="30" xfId="0" applyNumberFormat="1" applyFont="1" applyFill="1" applyBorder="1"/>
    <xf numFmtId="4" fontId="12" fillId="7" borderId="31" xfId="0" applyNumberFormat="1" applyFont="1" applyFill="1" applyBorder="1"/>
    <xf numFmtId="0" fontId="21" fillId="0" borderId="28" xfId="0" applyFont="1" applyBorder="1"/>
    <xf numFmtId="4" fontId="12" fillId="7" borderId="20" xfId="0" applyNumberFormat="1" applyFont="1" applyFill="1" applyBorder="1"/>
    <xf numFmtId="4" fontId="12" fillId="7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7" borderId="29" xfId="0" applyFont="1" applyFill="1" applyBorder="1" applyAlignment="1">
      <alignment horizontal="left" vertical="center"/>
    </xf>
    <xf numFmtId="49" fontId="12" fillId="0" borderId="28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7" borderId="29" xfId="0" applyFont="1" applyFill="1" applyBorder="1" applyAlignment="1">
      <alignment vertical="center"/>
    </xf>
    <xf numFmtId="0" fontId="12" fillId="0" borderId="28" xfId="0" applyFont="1" applyBorder="1"/>
    <xf numFmtId="4" fontId="12" fillId="7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7" borderId="18" xfId="0" applyFont="1" applyFill="1" applyBorder="1"/>
    <xf numFmtId="4" fontId="11" fillId="7" borderId="17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7" borderId="31" xfId="0" applyFont="1" applyFill="1" applyBorder="1"/>
    <xf numFmtId="0" fontId="11" fillId="0" borderId="28" xfId="0" applyFont="1" applyBorder="1"/>
    <xf numFmtId="0" fontId="1" fillId="0" borderId="0" xfId="0" applyFont="1" applyAlignment="1">
      <alignment horizontal="center" vertical="center" wrapText="1"/>
    </xf>
    <xf numFmtId="4" fontId="12" fillId="7" borderId="16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7" borderId="17" xfId="0" applyFont="1" applyFill="1" applyBorder="1"/>
    <xf numFmtId="4" fontId="12" fillId="7" borderId="16" xfId="0" applyNumberFormat="1" applyFont="1" applyFill="1" applyBorder="1" applyAlignment="1">
      <alignment horizontal="right"/>
    </xf>
    <xf numFmtId="4" fontId="26" fillId="5" borderId="26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7" borderId="18" xfId="0" applyFont="1" applyFill="1" applyBorder="1" applyAlignment="1">
      <alignment vertical="center" wrapText="1"/>
    </xf>
    <xf numFmtId="0" fontId="23" fillId="7" borderId="27" xfId="0" applyFont="1" applyFill="1" applyBorder="1"/>
    <xf numFmtId="4" fontId="11" fillId="7" borderId="27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7" borderId="27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7" borderId="18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7" borderId="27" xfId="0" applyFont="1" applyFill="1" applyBorder="1"/>
    <xf numFmtId="4" fontId="9" fillId="5" borderId="26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6" borderId="26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8" borderId="26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7" borderId="31" xfId="0" applyFont="1" applyFill="1" applyBorder="1" applyAlignment="1">
      <alignment vertical="center" wrapText="1"/>
    </xf>
    <xf numFmtId="0" fontId="29" fillId="7" borderId="31" xfId="0" applyFont="1" applyFill="1" applyBorder="1" applyAlignment="1">
      <alignment vertical="center"/>
    </xf>
    <xf numFmtId="0" fontId="29" fillId="7" borderId="31" xfId="0" applyFont="1" applyFill="1" applyBorder="1"/>
    <xf numFmtId="0" fontId="29" fillId="7" borderId="30" xfId="0" applyFont="1" applyFill="1" applyBorder="1"/>
    <xf numFmtId="0" fontId="29" fillId="7" borderId="30" xfId="0" applyFont="1" applyFill="1" applyBorder="1" applyAlignment="1">
      <alignment vertical="center"/>
    </xf>
    <xf numFmtId="0" fontId="29" fillId="7" borderId="30" xfId="0" applyFont="1" applyFill="1" applyBorder="1" applyAlignment="1">
      <alignment horizontal="left" vertical="center"/>
    </xf>
    <xf numFmtId="0" fontId="29" fillId="7" borderId="31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5" borderId="13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6" borderId="13" xfId="0" applyNumberFormat="1" applyFont="1" applyFill="1" applyBorder="1" applyAlignment="1">
      <alignment horizontal="right"/>
    </xf>
    <xf numFmtId="165" fontId="3" fillId="7" borderId="17" xfId="0" applyNumberFormat="1" applyFont="1" applyFill="1" applyBorder="1"/>
    <xf numFmtId="165" fontId="3" fillId="7" borderId="27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7" borderId="18" xfId="0" applyNumberFormat="1" applyFont="1" applyFill="1" applyBorder="1"/>
    <xf numFmtId="165" fontId="3" fillId="7" borderId="31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7" borderId="17" xfId="0" applyNumberFormat="1" applyFont="1" applyFill="1" applyBorder="1" applyAlignment="1">
      <alignment wrapText="1"/>
    </xf>
    <xf numFmtId="165" fontId="3" fillId="7" borderId="27" xfId="0" applyNumberFormat="1" applyFont="1" applyFill="1" applyBorder="1" applyAlignment="1">
      <alignment wrapText="1"/>
    </xf>
    <xf numFmtId="0" fontId="3" fillId="7" borderId="27" xfId="0" applyFont="1" applyFill="1" applyBorder="1" applyAlignment="1">
      <alignment wrapText="1"/>
    </xf>
    <xf numFmtId="165" fontId="3" fillId="7" borderId="17" xfId="0" applyNumberFormat="1" applyFont="1" applyFill="1" applyBorder="1" applyAlignment="1">
      <alignment horizontal="right" wrapText="1"/>
    </xf>
    <xf numFmtId="165" fontId="3" fillId="7" borderId="27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3" xfId="0" applyNumberFormat="1" applyFont="1" applyBorder="1" applyAlignment="1">
      <alignment horizontal="right" vertical="center"/>
    </xf>
    <xf numFmtId="165" fontId="12" fillId="8" borderId="13" xfId="0" applyNumberFormat="1" applyFont="1" applyFill="1" applyBorder="1" applyAlignment="1">
      <alignment horizontal="right" vertical="center"/>
    </xf>
    <xf numFmtId="0" fontId="24" fillId="7" borderId="20" xfId="0" applyFont="1" applyFill="1" applyBorder="1" applyAlignment="1">
      <alignment horizontal="left" vertical="center"/>
    </xf>
    <xf numFmtId="0" fontId="24" fillId="7" borderId="3" xfId="0" applyFont="1" applyFill="1" applyBorder="1"/>
    <xf numFmtId="0" fontId="24" fillId="7" borderId="3" xfId="0" applyFont="1" applyFill="1" applyBorder="1" applyAlignment="1">
      <alignment wrapText="1"/>
    </xf>
    <xf numFmtId="0" fontId="7" fillId="0" borderId="15" xfId="0" applyFont="1" applyBorder="1"/>
    <xf numFmtId="0" fontId="24" fillId="7" borderId="20" xfId="0" applyFont="1" applyFill="1" applyBorder="1" applyAlignment="1">
      <alignment vertical="center"/>
    </xf>
    <xf numFmtId="0" fontId="24" fillId="7" borderId="20" xfId="0" applyFont="1" applyFill="1" applyBorder="1"/>
    <xf numFmtId="0" fontId="24" fillId="7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8" borderId="26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7" borderId="16" xfId="0" applyNumberFormat="1" applyFont="1" applyFill="1" applyBorder="1" applyAlignment="1">
      <alignment horizontal="right"/>
    </xf>
    <xf numFmtId="3" fontId="9" fillId="5" borderId="26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6" borderId="26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7" borderId="17" xfId="0" applyNumberFormat="1" applyFont="1" applyFill="1" applyBorder="1" applyAlignment="1">
      <alignment horizontal="right"/>
    </xf>
    <xf numFmtId="3" fontId="12" fillId="7" borderId="27" xfId="0" applyNumberFormat="1" applyFont="1" applyFill="1" applyBorder="1" applyAlignment="1">
      <alignment horizontal="right"/>
    </xf>
    <xf numFmtId="3" fontId="12" fillId="7" borderId="16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5" borderId="26" xfId="0" applyNumberFormat="1" applyFont="1" applyFill="1" applyBorder="1" applyAlignment="1">
      <alignment horizontal="right"/>
    </xf>
    <xf numFmtId="3" fontId="12" fillId="7" borderId="18" xfId="0" applyNumberFormat="1" applyFont="1" applyFill="1" applyBorder="1" applyAlignment="1">
      <alignment horizontal="right"/>
    </xf>
    <xf numFmtId="3" fontId="12" fillId="7" borderId="31" xfId="0" applyNumberFormat="1" applyFont="1" applyFill="1" applyBorder="1" applyAlignment="1">
      <alignment horizontal="right"/>
    </xf>
    <xf numFmtId="3" fontId="12" fillId="7" borderId="2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7" borderId="1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7" borderId="17" xfId="0" applyNumberFormat="1" applyFont="1" applyFill="1" applyBorder="1" applyAlignment="1">
      <alignment horizontal="right"/>
    </xf>
    <xf numFmtId="3" fontId="26" fillId="5" borderId="26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7" borderId="27" xfId="0" applyNumberFormat="1" applyFont="1" applyFill="1" applyBorder="1" applyAlignment="1">
      <alignment horizontal="right"/>
    </xf>
    <xf numFmtId="3" fontId="11" fillId="7" borderId="27" xfId="0" applyNumberFormat="1" applyFont="1" applyFill="1" applyBorder="1" applyAlignment="1">
      <alignment horizontal="right"/>
    </xf>
    <xf numFmtId="3" fontId="21" fillId="7" borderId="27" xfId="0" applyNumberFormat="1" applyFont="1" applyFill="1" applyBorder="1" applyAlignment="1">
      <alignment horizontal="right"/>
    </xf>
    <xf numFmtId="4" fontId="12" fillId="7" borderId="27" xfId="0" applyNumberFormat="1" applyFont="1" applyFill="1" applyBorder="1" applyAlignment="1">
      <alignment horizontal="right"/>
    </xf>
    <xf numFmtId="3" fontId="3" fillId="7" borderId="27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6" borderId="26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26" xfId="0" applyNumberFormat="1" applyFont="1" applyBorder="1" applyAlignment="1">
      <alignment horizontal="center" vertical="center"/>
    </xf>
    <xf numFmtId="3" fontId="26" fillId="0" borderId="26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3" xfId="0" applyNumberFormat="1" applyFont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7" borderId="34" xfId="0" applyNumberFormat="1" applyFont="1" applyFill="1" applyBorder="1" applyAlignment="1">
      <alignment horizontal="right"/>
    </xf>
    <xf numFmtId="3" fontId="12" fillId="7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7" borderId="29" xfId="0" applyNumberFormat="1" applyFont="1" applyFill="1" applyBorder="1" applyAlignment="1">
      <alignment horizontal="right"/>
    </xf>
    <xf numFmtId="3" fontId="12" fillId="7" borderId="30" xfId="0" applyNumberFormat="1" applyFont="1" applyFill="1" applyBorder="1" applyAlignment="1">
      <alignment horizontal="right"/>
    </xf>
    <xf numFmtId="3" fontId="12" fillId="7" borderId="28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/>
    </xf>
    <xf numFmtId="0" fontId="7" fillId="0" borderId="35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3" fontId="8" fillId="3" borderId="15" xfId="0" applyNumberFormat="1" applyFont="1" applyFill="1" applyBorder="1"/>
    <xf numFmtId="0" fontId="2" fillId="0" borderId="16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3" fontId="7" fillId="0" borderId="15" xfId="0" applyNumberFormat="1" applyFont="1" applyBorder="1"/>
    <xf numFmtId="0" fontId="2" fillId="0" borderId="16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0" borderId="19" xfId="0" applyNumberFormat="1" applyFont="1" applyBorder="1"/>
    <xf numFmtId="49" fontId="7" fillId="0" borderId="1" xfId="0" applyNumberFormat="1" applyFont="1" applyBorder="1"/>
    <xf numFmtId="49" fontId="7" fillId="0" borderId="21" xfId="0" applyNumberFormat="1" applyFont="1" applyBorder="1"/>
    <xf numFmtId="49" fontId="7" fillId="0" borderId="15" xfId="0" applyNumberFormat="1" applyFont="1" applyBorder="1"/>
    <xf numFmtId="49" fontId="7" fillId="0" borderId="37" xfId="0" applyNumberFormat="1" applyFont="1" applyBorder="1"/>
    <xf numFmtId="49" fontId="7" fillId="0" borderId="3" xfId="0" applyNumberFormat="1" applyFont="1" applyBorder="1"/>
    <xf numFmtId="49" fontId="7" fillId="3" borderId="21" xfId="0" applyNumberFormat="1" applyFont="1" applyFill="1" applyBorder="1"/>
    <xf numFmtId="49" fontId="7" fillId="3" borderId="15" xfId="0" applyNumberFormat="1" applyFont="1" applyFill="1" applyBorder="1"/>
    <xf numFmtId="49" fontId="7" fillId="0" borderId="0" xfId="0" applyNumberFormat="1" applyFont="1"/>
    <xf numFmtId="49" fontId="7" fillId="2" borderId="23" xfId="0" applyNumberFormat="1" applyFont="1" applyFill="1" applyBorder="1"/>
    <xf numFmtId="49" fontId="7" fillId="4" borderId="3" xfId="0" applyNumberFormat="1" applyFont="1" applyFill="1" applyBorder="1"/>
    <xf numFmtId="49" fontId="7" fillId="4" borderId="1" xfId="0" applyNumberFormat="1" applyFont="1" applyFill="1" applyBorder="1"/>
    <xf numFmtId="49" fontId="7" fillId="2" borderId="15" xfId="0" applyNumberFormat="1" applyFont="1" applyFill="1" applyBorder="1"/>
    <xf numFmtId="49" fontId="7" fillId="2" borderId="6" xfId="0" applyNumberFormat="1" applyFont="1" applyFill="1" applyBorder="1"/>
    <xf numFmtId="49" fontId="8" fillId="0" borderId="1" xfId="0" applyNumberFormat="1" applyFont="1" applyBorder="1"/>
    <xf numFmtId="49" fontId="7" fillId="0" borderId="18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wrapText="1"/>
    </xf>
    <xf numFmtId="3" fontId="6" fillId="0" borderId="18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19" xfId="0" applyFont="1" applyBorder="1"/>
    <xf numFmtId="0" fontId="21" fillId="0" borderId="39" xfId="0" applyFont="1" applyBorder="1"/>
    <xf numFmtId="0" fontId="21" fillId="0" borderId="19" xfId="0" applyFont="1" applyBorder="1" applyAlignment="1">
      <alignment horizontal="left"/>
    </xf>
    <xf numFmtId="0" fontId="24" fillId="0" borderId="19" xfId="0" applyFont="1" applyBorder="1"/>
    <xf numFmtId="0" fontId="21" fillId="0" borderId="0" xfId="0" applyFont="1" applyAlignment="1">
      <alignment horizontal="center" vertical="center"/>
    </xf>
    <xf numFmtId="49" fontId="24" fillId="0" borderId="37" xfId="0" applyNumberFormat="1" applyFont="1" applyBorder="1"/>
    <xf numFmtId="4" fontId="21" fillId="0" borderId="18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49" fontId="21" fillId="0" borderId="19" xfId="0" applyNumberFormat="1" applyFont="1" applyBorder="1"/>
    <xf numFmtId="4" fontId="21" fillId="0" borderId="31" xfId="0" applyNumberFormat="1" applyFont="1" applyBorder="1"/>
    <xf numFmtId="4" fontId="21" fillId="0" borderId="3" xfId="0" applyNumberFormat="1" applyFont="1" applyBorder="1"/>
    <xf numFmtId="0" fontId="21" fillId="0" borderId="18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165" fontId="21" fillId="0" borderId="1" xfId="0" applyNumberFormat="1" applyFont="1" applyBorder="1" applyAlignment="1">
      <alignment horizontal="right"/>
    </xf>
    <xf numFmtId="4" fontId="24" fillId="0" borderId="3" xfId="0" applyNumberFormat="1" applyFont="1" applyBorder="1"/>
    <xf numFmtId="165" fontId="21" fillId="0" borderId="31" xfId="0" applyNumberFormat="1" applyFont="1" applyBorder="1" applyAlignment="1">
      <alignment horizontal="right" wrapText="1"/>
    </xf>
    <xf numFmtId="165" fontId="21" fillId="0" borderId="31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4" fontId="21" fillId="0" borderId="16" xfId="0" applyNumberFormat="1" applyFont="1" applyBorder="1"/>
    <xf numFmtId="0" fontId="21" fillId="0" borderId="40" xfId="0" applyFont="1" applyBorder="1" applyAlignment="1">
      <alignment horizontal="left"/>
    </xf>
    <xf numFmtId="0" fontId="21" fillId="0" borderId="40" xfId="0" applyFont="1" applyBorder="1" applyAlignment="1">
      <alignment wrapText="1"/>
    </xf>
    <xf numFmtId="4" fontId="21" fillId="0" borderId="40" xfId="0" applyNumberFormat="1" applyFont="1" applyBorder="1"/>
    <xf numFmtId="165" fontId="21" fillId="0" borderId="40" xfId="0" applyNumberFormat="1" applyFont="1" applyBorder="1" applyAlignment="1">
      <alignment horizontal="right"/>
    </xf>
    <xf numFmtId="0" fontId="0" fillId="0" borderId="41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1" xfId="0" applyNumberFormat="1" applyFont="1" applyBorder="1"/>
    <xf numFmtId="4" fontId="21" fillId="0" borderId="42" xfId="0" applyNumberFormat="1" applyFont="1" applyBorder="1"/>
    <xf numFmtId="0" fontId="21" fillId="0" borderId="31" xfId="0" applyFont="1" applyBorder="1"/>
    <xf numFmtId="0" fontId="21" fillId="0" borderId="31" xfId="0" applyFont="1" applyBorder="1" applyAlignment="1">
      <alignment wrapText="1"/>
    </xf>
    <xf numFmtId="0" fontId="21" fillId="0" borderId="31" xfId="0" applyFont="1" applyBorder="1" applyAlignment="1">
      <alignment vertical="distributed" wrapText="1"/>
    </xf>
    <xf numFmtId="0" fontId="21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/>
    </xf>
    <xf numFmtId="4" fontId="17" fillId="9" borderId="23" xfId="0" applyNumberFormat="1" applyFont="1" applyFill="1" applyBorder="1" applyAlignment="1">
      <alignment horizontal="right" vertical="center"/>
    </xf>
    <xf numFmtId="0" fontId="4" fillId="0" borderId="43" xfId="0" applyFont="1" applyBorder="1"/>
    <xf numFmtId="49" fontId="24" fillId="0" borderId="19" xfId="0" applyNumberFormat="1" applyFont="1" applyBorder="1"/>
    <xf numFmtId="49" fontId="21" fillId="0" borderId="44" xfId="0" applyNumberFormat="1" applyFont="1" applyBorder="1"/>
    <xf numFmtId="0" fontId="21" fillId="0" borderId="44" xfId="0" applyFont="1" applyBorder="1"/>
    <xf numFmtId="0" fontId="4" fillId="0" borderId="45" xfId="0" applyFont="1" applyBorder="1"/>
    <xf numFmtId="0" fontId="21" fillId="0" borderId="44" xfId="0" applyFont="1" applyBorder="1" applyAlignment="1">
      <alignment horizontal="left"/>
    </xf>
    <xf numFmtId="0" fontId="21" fillId="0" borderId="40" xfId="0" applyFont="1" applyBorder="1" applyAlignment="1">
      <alignment horizontal="left" vertical="center" wrapText="1"/>
    </xf>
    <xf numFmtId="0" fontId="21" fillId="0" borderId="42" xfId="0" applyFont="1" applyBorder="1"/>
    <xf numFmtId="0" fontId="21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/>
    </xf>
    <xf numFmtId="4" fontId="17" fillId="10" borderId="23" xfId="0" applyNumberFormat="1" applyFont="1" applyFill="1" applyBorder="1"/>
    <xf numFmtId="0" fontId="17" fillId="10" borderId="0" xfId="0" applyFont="1" applyFill="1"/>
    <xf numFmtId="0" fontId="4" fillId="0" borderId="0" xfId="0" applyFont="1" applyAlignment="1">
      <alignment horizontal="right"/>
    </xf>
    <xf numFmtId="4" fontId="17" fillId="11" borderId="25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9" fillId="0" borderId="49" xfId="0" applyFont="1" applyBorder="1"/>
    <xf numFmtId="0" fontId="9" fillId="0" borderId="28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43" xfId="0" applyFont="1" applyBorder="1"/>
    <xf numFmtId="4" fontId="9" fillId="0" borderId="1" xfId="0" applyNumberFormat="1" applyFont="1" applyBorder="1"/>
    <xf numFmtId="0" fontId="9" fillId="0" borderId="3" xfId="0" applyFont="1" applyBorder="1" applyAlignment="1">
      <alignment horizontal="left" vertical="distributed" wrapText="1"/>
    </xf>
    <xf numFmtId="4" fontId="9" fillId="0" borderId="31" xfId="0" applyNumberFormat="1" applyFont="1" applyBorder="1"/>
    <xf numFmtId="0" fontId="9" fillId="0" borderId="3" xfId="0" applyFont="1" applyBorder="1" applyAlignment="1">
      <alignment wrapText="1"/>
    </xf>
    <xf numFmtId="4" fontId="21" fillId="0" borderId="51" xfId="0" applyNumberFormat="1" applyFont="1" applyBorder="1"/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48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165" fontId="21" fillId="0" borderId="51" xfId="0" applyNumberFormat="1" applyFont="1" applyBorder="1" applyAlignment="1">
      <alignment horizontal="right"/>
    </xf>
    <xf numFmtId="0" fontId="24" fillId="0" borderId="37" xfId="0" applyFont="1" applyBorder="1"/>
    <xf numFmtId="0" fontId="24" fillId="10" borderId="0" xfId="0" applyFont="1" applyFill="1"/>
    <xf numFmtId="0" fontId="4" fillId="0" borderId="48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49" fontId="21" fillId="0" borderId="39" xfId="0" applyNumberFormat="1" applyFont="1" applyBorder="1"/>
    <xf numFmtId="0" fontId="24" fillId="0" borderId="0" xfId="0" applyFont="1" applyAlignment="1">
      <alignment wrapText="1"/>
    </xf>
    <xf numFmtId="0" fontId="15" fillId="0" borderId="48" xfId="0" applyFont="1" applyBorder="1" applyAlignment="1">
      <alignment horizontal="center" vertical="center"/>
    </xf>
    <xf numFmtId="0" fontId="16" fillId="0" borderId="0" xfId="0" applyFont="1"/>
    <xf numFmtId="0" fontId="31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49" fontId="7" fillId="2" borderId="35" xfId="0" applyNumberFormat="1" applyFont="1" applyFill="1" applyBorder="1" applyAlignment="1">
      <alignment horizontal="center" vertical="center"/>
    </xf>
    <xf numFmtId="49" fontId="7" fillId="4" borderId="37" xfId="0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7" fillId="12" borderId="5" xfId="0" applyNumberFormat="1" applyFont="1" applyFill="1" applyBorder="1" applyAlignment="1">
      <alignment horizontal="center" vertical="center" wrapText="1"/>
    </xf>
    <xf numFmtId="49" fontId="7" fillId="12" borderId="6" xfId="0" applyNumberFormat="1" applyFont="1" applyFill="1" applyBorder="1"/>
    <xf numFmtId="0" fontId="5" fillId="12" borderId="11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1" fillId="12" borderId="0" xfId="0" applyFont="1" applyFill="1"/>
    <xf numFmtId="49" fontId="7" fillId="12" borderId="21" xfId="0" applyNumberFormat="1" applyFont="1" applyFill="1" applyBorder="1"/>
    <xf numFmtId="49" fontId="7" fillId="12" borderId="15" xfId="0" applyNumberFormat="1" applyFont="1" applyFill="1" applyBorder="1"/>
    <xf numFmtId="0" fontId="7" fillId="12" borderId="14" xfId="0" applyFont="1" applyFill="1" applyBorder="1" applyAlignment="1">
      <alignment horizontal="center" vertical="center" wrapText="1"/>
    </xf>
    <xf numFmtId="0" fontId="7" fillId="12" borderId="15" xfId="0" applyFont="1" applyFill="1" applyBorder="1"/>
    <xf numFmtId="0" fontId="7" fillId="12" borderId="15" xfId="0" applyFont="1" applyFill="1" applyBorder="1" applyAlignment="1">
      <alignment horizontal="center"/>
    </xf>
    <xf numFmtId="0" fontId="7" fillId="12" borderId="0" xfId="0" applyFont="1" applyFill="1"/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49" fontId="7" fillId="12" borderId="25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11" fillId="12" borderId="21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/>
    </xf>
    <xf numFmtId="49" fontId="7" fillId="12" borderId="32" xfId="0" applyNumberFormat="1" applyFont="1" applyFill="1" applyBorder="1" applyAlignment="1">
      <alignment horizontal="center"/>
    </xf>
    <xf numFmtId="49" fontId="7" fillId="12" borderId="54" xfId="0" applyNumberFormat="1" applyFont="1" applyFill="1" applyBorder="1" applyAlignment="1">
      <alignment horizontal="center"/>
    </xf>
    <xf numFmtId="49" fontId="7" fillId="12" borderId="53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0" fillId="0" borderId="0" xfId="0" applyFont="1" applyAlignment="1">
      <alignment wrapText="1"/>
    </xf>
    <xf numFmtId="4" fontId="4" fillId="0" borderId="0" xfId="0" applyNumberFormat="1" applyFont="1"/>
    <xf numFmtId="49" fontId="4" fillId="0" borderId="12" xfId="0" applyNumberFormat="1" applyFont="1" applyBorder="1"/>
    <xf numFmtId="49" fontId="7" fillId="0" borderId="9" xfId="0" applyNumberFormat="1" applyFont="1" applyBorder="1"/>
    <xf numFmtId="0" fontId="7" fillId="0" borderId="0" xfId="0" applyFont="1"/>
    <xf numFmtId="49" fontId="7" fillId="0" borderId="7" xfId="0" applyNumberFormat="1" applyFont="1" applyBorder="1"/>
    <xf numFmtId="49" fontId="4" fillId="0" borderId="9" xfId="0" applyNumberFormat="1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4" fontId="4" fillId="0" borderId="9" xfId="0" applyNumberFormat="1" applyFont="1" applyBorder="1"/>
    <xf numFmtId="0" fontId="4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21" fillId="0" borderId="19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40" xfId="0" applyFont="1" applyBorder="1" applyAlignment="1">
      <alignment horizontal="left" vertical="center"/>
    </xf>
    <xf numFmtId="0" fontId="21" fillId="0" borderId="40" xfId="0" applyFont="1" applyBorder="1" applyAlignment="1">
      <alignment vertical="center" wrapText="1"/>
    </xf>
    <xf numFmtId="4" fontId="21" fillId="0" borderId="40" xfId="0" applyNumberFormat="1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32" fillId="0" borderId="9" xfId="0" applyFont="1" applyBorder="1" applyAlignment="1">
      <alignment shrinkToFit="1"/>
    </xf>
    <xf numFmtId="4" fontId="33" fillId="11" borderId="25" xfId="0" applyNumberFormat="1" applyFont="1" applyFill="1" applyBorder="1" applyAlignment="1">
      <alignment vertical="center"/>
    </xf>
    <xf numFmtId="4" fontId="33" fillId="10" borderId="23" xfId="0" applyNumberFormat="1" applyFont="1" applyFill="1" applyBorder="1"/>
    <xf numFmtId="4" fontId="32" fillId="0" borderId="42" xfId="0" applyNumberFormat="1" applyFont="1" applyBorder="1"/>
    <xf numFmtId="4" fontId="32" fillId="0" borderId="31" xfId="0" applyNumberFormat="1" applyFont="1" applyBorder="1"/>
    <xf numFmtId="4" fontId="35" fillId="0" borderId="3" xfId="0" applyNumberFormat="1" applyFont="1" applyBorder="1"/>
    <xf numFmtId="4" fontId="36" fillId="0" borderId="3" xfId="0" applyNumberFormat="1" applyFont="1" applyBorder="1"/>
    <xf numFmtId="4" fontId="32" fillId="0" borderId="1" xfId="0" applyNumberFormat="1" applyFont="1" applyBorder="1"/>
    <xf numFmtId="4" fontId="36" fillId="0" borderId="1" xfId="0" applyNumberFormat="1" applyFont="1" applyBorder="1"/>
    <xf numFmtId="4" fontId="32" fillId="0" borderId="40" xfId="0" applyNumberFormat="1" applyFont="1" applyBorder="1"/>
    <xf numFmtId="4" fontId="32" fillId="0" borderId="18" xfId="0" applyNumberFormat="1" applyFont="1" applyBorder="1"/>
    <xf numFmtId="4" fontId="33" fillId="9" borderId="23" xfId="0" applyNumberFormat="1" applyFont="1" applyFill="1" applyBorder="1" applyAlignment="1">
      <alignment horizontal="right" vertical="center"/>
    </xf>
    <xf numFmtId="0" fontId="37" fillId="0" borderId="0" xfId="0" applyFont="1"/>
    <xf numFmtId="0" fontId="9" fillId="13" borderId="0" xfId="0" applyFont="1" applyFill="1"/>
    <xf numFmtId="0" fontId="10" fillId="13" borderId="0" xfId="0" applyFont="1" applyFill="1"/>
    <xf numFmtId="0" fontId="0" fillId="13" borderId="0" xfId="0" applyFill="1"/>
    <xf numFmtId="0" fontId="24" fillId="13" borderId="0" xfId="0" applyFont="1" applyFill="1"/>
    <xf numFmtId="0" fontId="0" fillId="13" borderId="0" xfId="0" applyFill="1" applyAlignment="1">
      <alignment vertical="center"/>
    </xf>
    <xf numFmtId="4" fontId="30" fillId="9" borderId="23" xfId="0" applyNumberFormat="1" applyFont="1" applyFill="1" applyBorder="1" applyAlignment="1">
      <alignment vertical="center"/>
    </xf>
    <xf numFmtId="4" fontId="17" fillId="10" borderId="23" xfId="0" applyNumberFormat="1" applyFont="1" applyFill="1" applyBorder="1" applyAlignment="1">
      <alignment vertical="center"/>
    </xf>
    <xf numFmtId="4" fontId="21" fillId="0" borderId="31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33" fillId="10" borderId="23" xfId="0" applyNumberFormat="1" applyFont="1" applyFill="1" applyBorder="1" applyAlignment="1">
      <alignment vertical="center"/>
    </xf>
    <xf numFmtId="4" fontId="17" fillId="10" borderId="23" xfId="0" applyNumberFormat="1" applyFont="1" applyFill="1" applyBorder="1" applyAlignment="1">
      <alignment vertical="center" wrapText="1"/>
    </xf>
    <xf numFmtId="165" fontId="18" fillId="10" borderId="23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shrinkToFit="1"/>
    </xf>
    <xf numFmtId="4" fontId="33" fillId="10" borderId="2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4" fontId="34" fillId="9" borderId="23" xfId="0" applyNumberFormat="1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32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left" shrinkToFit="1"/>
    </xf>
    <xf numFmtId="4" fontId="32" fillId="0" borderId="31" xfId="0" applyNumberFormat="1" applyFont="1" applyBorder="1" applyAlignment="1">
      <alignment vertical="center"/>
    </xf>
    <xf numFmtId="4" fontId="35" fillId="0" borderId="31" xfId="0" applyNumberFormat="1" applyFont="1" applyBorder="1" applyAlignment="1">
      <alignment vertical="center"/>
    </xf>
    <xf numFmtId="4" fontId="35" fillId="0" borderId="3" xfId="0" applyNumberFormat="1" applyFont="1" applyBorder="1" applyAlignment="1">
      <alignment vertical="center"/>
    </xf>
    <xf numFmtId="4" fontId="36" fillId="0" borderId="1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/>
    <xf numFmtId="0" fontId="40" fillId="0" borderId="48" xfId="0" applyFont="1" applyBorder="1" applyAlignment="1">
      <alignment horizontal="center" vertical="center" wrapText="1"/>
    </xf>
    <xf numFmtId="49" fontId="7" fillId="14" borderId="5" xfId="0" applyNumberFormat="1" applyFont="1" applyFill="1" applyBorder="1"/>
    <xf numFmtId="49" fontId="7" fillId="14" borderId="6" xfId="0" applyNumberFormat="1" applyFont="1" applyFill="1" applyBorder="1"/>
    <xf numFmtId="0" fontId="2" fillId="14" borderId="11" xfId="0" applyFont="1" applyFill="1" applyBorder="1"/>
    <xf numFmtId="0" fontId="2" fillId="14" borderId="6" xfId="0" applyFont="1" applyFill="1" applyBorder="1"/>
    <xf numFmtId="3" fontId="2" fillId="14" borderId="6" xfId="0" applyNumberFormat="1" applyFont="1" applyFill="1" applyBorder="1"/>
    <xf numFmtId="0" fontId="1" fillId="14" borderId="0" xfId="0" applyFont="1" applyFill="1"/>
    <xf numFmtId="49" fontId="7" fillId="0" borderId="2" xfId="0" applyNumberFormat="1" applyFont="1" applyBorder="1"/>
    <xf numFmtId="0" fontId="2" fillId="0" borderId="56" xfId="0" applyFont="1" applyBorder="1"/>
    <xf numFmtId="49" fontId="7" fillId="0" borderId="4" xfId="0" applyNumberFormat="1" applyFont="1" applyBorder="1"/>
    <xf numFmtId="49" fontId="7" fillId="0" borderId="55" xfId="0" applyNumberFormat="1" applyFont="1" applyBorder="1"/>
    <xf numFmtId="4" fontId="2" fillId="0" borderId="4" xfId="0" applyNumberFormat="1" applyFont="1" applyBorder="1"/>
    <xf numFmtId="4" fontId="2" fillId="0" borderId="56" xfId="0" applyNumberFormat="1" applyFont="1" applyBorder="1"/>
    <xf numFmtId="0" fontId="6" fillId="12" borderId="6" xfId="0" applyFont="1" applyFill="1" applyBorder="1" applyAlignment="1">
      <alignment horizontal="center"/>
    </xf>
    <xf numFmtId="0" fontId="12" fillId="12" borderId="1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3" fillId="0" borderId="9" xfId="0" applyNumberFormat="1" applyFont="1" applyBorder="1"/>
    <xf numFmtId="3" fontId="2" fillId="2" borderId="6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0" fillId="0" borderId="41" xfId="0" applyBorder="1" applyAlignment="1">
      <alignment vertical="center"/>
    </xf>
    <xf numFmtId="0" fontId="21" fillId="0" borderId="41" xfId="0" applyFont="1" applyBorder="1"/>
    <xf numFmtId="0" fontId="9" fillId="0" borderId="41" xfId="0" applyFont="1" applyBorder="1"/>
    <xf numFmtId="0" fontId="24" fillId="0" borderId="41" xfId="0" applyFont="1" applyBorder="1"/>
    <xf numFmtId="0" fontId="4" fillId="0" borderId="41" xfId="0" applyFont="1" applyBorder="1"/>
    <xf numFmtId="4" fontId="32" fillId="0" borderId="1" xfId="0" applyNumberFormat="1" applyFont="1" applyBorder="1" applyAlignment="1">
      <alignment vertical="center"/>
    </xf>
    <xf numFmtId="4" fontId="32" fillId="0" borderId="40" xfId="0" applyNumberFormat="1" applyFont="1" applyBorder="1" applyAlignment="1">
      <alignment vertical="center"/>
    </xf>
    <xf numFmtId="49" fontId="7" fillId="4" borderId="1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4" fontId="9" fillId="15" borderId="3" xfId="0" applyNumberFormat="1" applyFont="1" applyFill="1" applyBorder="1"/>
    <xf numFmtId="0" fontId="21" fillId="0" borderId="40" xfId="0" applyFont="1" applyBorder="1"/>
    <xf numFmtId="4" fontId="17" fillId="10" borderId="25" xfId="0" applyNumberFormat="1" applyFont="1" applyFill="1" applyBorder="1" applyAlignment="1">
      <alignment vertical="center"/>
    </xf>
    <xf numFmtId="4" fontId="33" fillId="10" borderId="25" xfId="0" applyNumberFormat="1" applyFont="1" applyFill="1" applyBorder="1" applyAlignment="1">
      <alignment vertical="center"/>
    </xf>
    <xf numFmtId="4" fontId="17" fillId="10" borderId="25" xfId="0" applyNumberFormat="1" applyFont="1" applyFill="1" applyBorder="1" applyAlignment="1">
      <alignment vertical="center" wrapText="1"/>
    </xf>
    <xf numFmtId="4" fontId="33" fillId="10" borderId="25" xfId="0" applyNumberFormat="1" applyFont="1" applyFill="1" applyBorder="1" applyAlignment="1">
      <alignment vertical="center" wrapText="1"/>
    </xf>
    <xf numFmtId="0" fontId="42" fillId="13" borderId="4" xfId="0" applyFont="1" applyFill="1" applyBorder="1" applyAlignment="1">
      <alignment horizontal="left"/>
    </xf>
    <xf numFmtId="0" fontId="43" fillId="13" borderId="4" xfId="0" applyFont="1" applyFill="1" applyBorder="1" applyAlignment="1">
      <alignment horizontal="left"/>
    </xf>
    <xf numFmtId="3" fontId="44" fillId="0" borderId="1" xfId="0" applyNumberFormat="1" applyFont="1" applyBorder="1"/>
    <xf numFmtId="4" fontId="21" fillId="0" borderId="27" xfId="0" applyNumberFormat="1" applyFont="1" applyBorder="1"/>
    <xf numFmtId="0" fontId="21" fillId="0" borderId="0" xfId="0" applyFont="1" applyAlignment="1">
      <alignment wrapText="1"/>
    </xf>
    <xf numFmtId="0" fontId="21" fillId="0" borderId="27" xfId="0" applyFont="1" applyBorder="1" applyAlignment="1">
      <alignment horizontal="left"/>
    </xf>
    <xf numFmtId="4" fontId="24" fillId="0" borderId="31" xfId="0" applyNumberFormat="1" applyFont="1" applyBorder="1"/>
    <xf numFmtId="4" fontId="21" fillId="15" borderId="1" xfId="0" applyNumberFormat="1" applyFont="1" applyFill="1" applyBorder="1"/>
    <xf numFmtId="0" fontId="9" fillId="15" borderId="3" xfId="0" applyFont="1" applyFill="1" applyBorder="1" applyAlignment="1">
      <alignment wrapText="1"/>
    </xf>
    <xf numFmtId="4" fontId="21" fillId="15" borderId="31" xfId="0" applyNumberFormat="1" applyFont="1" applyFill="1" applyBorder="1"/>
    <xf numFmtId="4" fontId="21" fillId="15" borderId="31" xfId="0" applyNumberFormat="1" applyFont="1" applyFill="1" applyBorder="1" applyAlignment="1">
      <alignment vertical="center"/>
    </xf>
    <xf numFmtId="4" fontId="9" fillId="15" borderId="31" xfId="0" applyNumberFormat="1" applyFont="1" applyFill="1" applyBorder="1" applyAlignment="1">
      <alignment vertical="center"/>
    </xf>
    <xf numFmtId="4" fontId="9" fillId="15" borderId="3" xfId="0" applyNumberFormat="1" applyFont="1" applyFill="1" applyBorder="1" applyAlignment="1">
      <alignment vertical="center"/>
    </xf>
    <xf numFmtId="0" fontId="21" fillId="15" borderId="1" xfId="0" applyFont="1" applyFill="1" applyBorder="1" applyAlignment="1">
      <alignment wrapText="1"/>
    </xf>
    <xf numFmtId="4" fontId="32" fillId="15" borderId="1" xfId="0" applyNumberFormat="1" applyFont="1" applyFill="1" applyBorder="1"/>
    <xf numFmtId="0" fontId="21" fillId="15" borderId="1" xfId="0" applyFont="1" applyFill="1" applyBorder="1"/>
    <xf numFmtId="4" fontId="9" fillId="15" borderId="1" xfId="0" applyNumberFormat="1" applyFont="1" applyFill="1" applyBorder="1"/>
    <xf numFmtId="0" fontId="24" fillId="15" borderId="1" xfId="0" applyFont="1" applyFill="1" applyBorder="1"/>
    <xf numFmtId="0" fontId="24" fillId="15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left"/>
    </xf>
    <xf numFmtId="0" fontId="24" fillId="15" borderId="1" xfId="0" applyFont="1" applyFill="1" applyBorder="1" applyAlignment="1">
      <alignment wrapText="1"/>
    </xf>
    <xf numFmtId="4" fontId="24" fillId="15" borderId="1" xfId="0" applyNumberFormat="1" applyFont="1" applyFill="1" applyBorder="1"/>
    <xf numFmtId="4" fontId="36" fillId="15" borderId="1" xfId="0" applyNumberFormat="1" applyFont="1" applyFill="1" applyBorder="1"/>
    <xf numFmtId="0" fontId="21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left"/>
    </xf>
    <xf numFmtId="0" fontId="21" fillId="15" borderId="18" xfId="0" applyFont="1" applyFill="1" applyBorder="1"/>
    <xf numFmtId="0" fontId="21" fillId="15" borderId="18" xfId="0" applyFont="1" applyFill="1" applyBorder="1" applyAlignment="1">
      <alignment horizontal="center" vertical="center"/>
    </xf>
    <xf numFmtId="0" fontId="21" fillId="15" borderId="18" xfId="0" applyFont="1" applyFill="1" applyBorder="1" applyAlignment="1">
      <alignment horizontal="left"/>
    </xf>
    <xf numFmtId="0" fontId="21" fillId="15" borderId="18" xfId="0" applyFont="1" applyFill="1" applyBorder="1" applyAlignment="1">
      <alignment wrapText="1"/>
    </xf>
    <xf numFmtId="4" fontId="21" fillId="15" borderId="18" xfId="0" applyNumberFormat="1" applyFont="1" applyFill="1" applyBorder="1"/>
    <xf numFmtId="4" fontId="32" fillId="15" borderId="18" xfId="0" applyNumberFormat="1" applyFont="1" applyFill="1" applyBorder="1"/>
    <xf numFmtId="0" fontId="21" fillId="15" borderId="40" xfId="0" applyFont="1" applyFill="1" applyBorder="1" applyAlignment="1">
      <alignment horizontal="center" vertical="center"/>
    </xf>
    <xf numFmtId="0" fontId="21" fillId="15" borderId="40" xfId="0" applyFont="1" applyFill="1" applyBorder="1" applyAlignment="1">
      <alignment horizontal="left"/>
    </xf>
    <xf numFmtId="0" fontId="21" fillId="15" borderId="40" xfId="0" applyFont="1" applyFill="1" applyBorder="1" applyAlignment="1">
      <alignment wrapText="1"/>
    </xf>
    <xf numFmtId="4" fontId="21" fillId="15" borderId="40" xfId="0" applyNumberFormat="1" applyFont="1" applyFill="1" applyBorder="1"/>
    <xf numFmtId="4" fontId="32" fillId="15" borderId="40" xfId="0" applyNumberFormat="1" applyFont="1" applyFill="1" applyBorder="1"/>
    <xf numFmtId="0" fontId="21" fillId="15" borderId="31" xfId="0" applyFont="1" applyFill="1" applyBorder="1" applyAlignment="1">
      <alignment wrapText="1"/>
    </xf>
    <xf numFmtId="4" fontId="32" fillId="15" borderId="31" xfId="0" applyNumberFormat="1" applyFont="1" applyFill="1" applyBorder="1"/>
    <xf numFmtId="165" fontId="21" fillId="15" borderId="31" xfId="0" applyNumberFormat="1" applyFont="1" applyFill="1" applyBorder="1" applyAlignment="1">
      <alignment horizontal="right"/>
    </xf>
    <xf numFmtId="0" fontId="21" fillId="15" borderId="44" xfId="0" applyFont="1" applyFill="1" applyBorder="1"/>
    <xf numFmtId="0" fontId="24" fillId="15" borderId="19" xfId="0" applyFont="1" applyFill="1" applyBorder="1" applyAlignment="1">
      <alignment horizontal="left"/>
    </xf>
    <xf numFmtId="0" fontId="24" fillId="15" borderId="1" xfId="0" applyFont="1" applyFill="1" applyBorder="1" applyAlignment="1">
      <alignment horizontal="left" vertical="center"/>
    </xf>
    <xf numFmtId="165" fontId="21" fillId="15" borderId="3" xfId="0" applyNumberFormat="1" applyFont="1" applyFill="1" applyBorder="1" applyAlignment="1">
      <alignment horizontal="right"/>
    </xf>
    <xf numFmtId="0" fontId="21" fillId="15" borderId="19" xfId="0" applyFont="1" applyFill="1" applyBorder="1" applyAlignment="1">
      <alignment horizontal="left"/>
    </xf>
    <xf numFmtId="0" fontId="4" fillId="15" borderId="43" xfId="0" applyFont="1" applyFill="1" applyBorder="1"/>
    <xf numFmtId="0" fontId="4" fillId="15" borderId="0" xfId="0" applyFont="1" applyFill="1" applyAlignment="1">
      <alignment horizontal="center"/>
    </xf>
    <xf numFmtId="0" fontId="4" fillId="15" borderId="0" xfId="0" applyFont="1" applyFill="1"/>
    <xf numFmtId="4" fontId="21" fillId="15" borderId="3" xfId="0" applyNumberFormat="1" applyFont="1" applyFill="1" applyBorder="1"/>
    <xf numFmtId="0" fontId="9" fillId="15" borderId="43" xfId="0" applyFont="1" applyFill="1" applyBorder="1"/>
    <xf numFmtId="0" fontId="9" fillId="15" borderId="0" xfId="0" applyFont="1" applyFill="1" applyAlignment="1">
      <alignment horizontal="center"/>
    </xf>
    <xf numFmtId="0" fontId="9" fillId="15" borderId="0" xfId="0" applyFont="1" applyFill="1"/>
    <xf numFmtId="0" fontId="9" fillId="15" borderId="3" xfId="0" applyFont="1" applyFill="1" applyBorder="1" applyAlignment="1">
      <alignment vertical="distributed" wrapText="1"/>
    </xf>
    <xf numFmtId="4" fontId="35" fillId="15" borderId="3" xfId="0" applyNumberFormat="1" applyFont="1" applyFill="1" applyBorder="1"/>
    <xf numFmtId="0" fontId="24" fillId="15" borderId="1" xfId="0" applyFont="1" applyFill="1" applyBorder="1" applyAlignment="1">
      <alignment horizontal="center"/>
    </xf>
    <xf numFmtId="0" fontId="21" fillId="15" borderId="1" xfId="0" applyFont="1" applyFill="1" applyBorder="1" applyAlignment="1">
      <alignment horizontal="center"/>
    </xf>
    <xf numFmtId="0" fontId="21" fillId="15" borderId="44" xfId="0" applyFont="1" applyFill="1" applyBorder="1" applyAlignment="1">
      <alignment horizontal="left"/>
    </xf>
    <xf numFmtId="0" fontId="21" fillId="15" borderId="40" xfId="0" applyFont="1" applyFill="1" applyBorder="1" applyAlignment="1">
      <alignment horizontal="left" vertical="center" wrapText="1"/>
    </xf>
    <xf numFmtId="0" fontId="21" fillId="15" borderId="31" xfId="0" applyFont="1" applyFill="1" applyBorder="1"/>
    <xf numFmtId="0" fontId="9" fillId="15" borderId="3" xfId="0" applyFont="1" applyFill="1" applyBorder="1" applyAlignment="1">
      <alignment horizontal="left"/>
    </xf>
    <xf numFmtId="0" fontId="21" fillId="15" borderId="1" xfId="0" applyFont="1" applyFill="1" applyBorder="1" applyAlignment="1">
      <alignment horizontal="left" vertical="center"/>
    </xf>
    <xf numFmtId="0" fontId="9" fillId="15" borderId="0" xfId="0" applyFont="1" applyFill="1" applyAlignment="1">
      <alignment horizontal="center" vertical="center"/>
    </xf>
    <xf numFmtId="4" fontId="9" fillId="15" borderId="31" xfId="0" applyNumberFormat="1" applyFont="1" applyFill="1" applyBorder="1"/>
    <xf numFmtId="4" fontId="35" fillId="15" borderId="31" xfId="0" applyNumberFormat="1" applyFont="1" applyFill="1" applyBorder="1"/>
    <xf numFmtId="165" fontId="15" fillId="15" borderId="31" xfId="0" applyNumberFormat="1" applyFont="1" applyFill="1" applyBorder="1" applyAlignment="1">
      <alignment horizontal="right"/>
    </xf>
    <xf numFmtId="0" fontId="4" fillId="15" borderId="0" xfId="0" applyFont="1" applyFill="1" applyAlignment="1">
      <alignment horizontal="center" vertical="center"/>
    </xf>
    <xf numFmtId="0" fontId="24" fillId="15" borderId="19" xfId="0" applyFont="1" applyFill="1" applyBorder="1"/>
    <xf numFmtId="0" fontId="21" fillId="15" borderId="19" xfId="0" applyFont="1" applyFill="1" applyBorder="1"/>
    <xf numFmtId="0" fontId="21" fillId="15" borderId="40" xfId="0" applyFont="1" applyFill="1" applyBorder="1"/>
    <xf numFmtId="0" fontId="21" fillId="15" borderId="50" xfId="0" applyFont="1" applyFill="1" applyBorder="1"/>
    <xf numFmtId="0" fontId="21" fillId="15" borderId="51" xfId="0" applyFont="1" applyFill="1" applyBorder="1" applyAlignment="1">
      <alignment horizontal="center" vertical="center"/>
    </xf>
    <xf numFmtId="0" fontId="21" fillId="15" borderId="51" xfId="0" applyFont="1" applyFill="1" applyBorder="1" applyAlignment="1">
      <alignment horizontal="left"/>
    </xf>
    <xf numFmtId="0" fontId="21" fillId="15" borderId="51" xfId="0" applyFont="1" applyFill="1" applyBorder="1" applyAlignment="1">
      <alignment wrapText="1"/>
    </xf>
    <xf numFmtId="4" fontId="21" fillId="15" borderId="51" xfId="0" applyNumberFormat="1" applyFont="1" applyFill="1" applyBorder="1"/>
    <xf numFmtId="0" fontId="21" fillId="15" borderId="19" xfId="0" applyFont="1" applyFill="1" applyBorder="1" applyAlignment="1">
      <alignment vertical="center"/>
    </xf>
    <xf numFmtId="0" fontId="21" fillId="15" borderId="18" xfId="0" applyFont="1" applyFill="1" applyBorder="1" applyAlignment="1">
      <alignment horizontal="left" vertical="center"/>
    </xf>
    <xf numFmtId="0" fontId="21" fillId="15" borderId="18" xfId="0" applyFont="1" applyFill="1" applyBorder="1" applyAlignment="1">
      <alignment vertical="center" wrapText="1"/>
    </xf>
    <xf numFmtId="4" fontId="21" fillId="15" borderId="18" xfId="0" applyNumberFormat="1" applyFont="1" applyFill="1" applyBorder="1" applyAlignment="1">
      <alignment vertical="center"/>
    </xf>
    <xf numFmtId="4" fontId="21" fillId="15" borderId="1" xfId="0" applyNumberFormat="1" applyFont="1" applyFill="1" applyBorder="1" applyAlignment="1">
      <alignment vertical="center"/>
    </xf>
    <xf numFmtId="4" fontId="32" fillId="15" borderId="1" xfId="0" applyNumberFormat="1" applyFont="1" applyFill="1" applyBorder="1" applyAlignment="1">
      <alignment vertical="center"/>
    </xf>
    <xf numFmtId="0" fontId="21" fillId="15" borderId="44" xfId="0" applyFont="1" applyFill="1" applyBorder="1" applyAlignment="1">
      <alignment vertical="center"/>
    </xf>
    <xf numFmtId="0" fontId="21" fillId="15" borderId="40" xfId="0" applyFont="1" applyFill="1" applyBorder="1" applyAlignment="1">
      <alignment horizontal="left" vertical="center"/>
    </xf>
    <xf numFmtId="0" fontId="21" fillId="15" borderId="40" xfId="0" applyFont="1" applyFill="1" applyBorder="1" applyAlignment="1">
      <alignment vertical="center" wrapText="1"/>
    </xf>
    <xf numFmtId="4" fontId="21" fillId="15" borderId="40" xfId="0" applyNumberFormat="1" applyFont="1" applyFill="1" applyBorder="1" applyAlignment="1">
      <alignment vertical="center"/>
    </xf>
    <xf numFmtId="4" fontId="32" fillId="15" borderId="40" xfId="0" applyNumberFormat="1" applyFont="1" applyFill="1" applyBorder="1" applyAlignment="1">
      <alignment vertical="center"/>
    </xf>
    <xf numFmtId="0" fontId="21" fillId="15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0" fontId="21" fillId="15" borderId="0" xfId="0" applyFont="1" applyFill="1" applyAlignment="1">
      <alignment horizontal="left" vertical="center"/>
    </xf>
    <xf numFmtId="0" fontId="21" fillId="15" borderId="46" xfId="0" applyFont="1" applyFill="1" applyBorder="1" applyAlignment="1">
      <alignment vertical="center" wrapText="1"/>
    </xf>
    <xf numFmtId="4" fontId="32" fillId="15" borderId="31" xfId="0" applyNumberFormat="1" applyFont="1" applyFill="1" applyBorder="1" applyAlignment="1">
      <alignment vertical="center"/>
    </xf>
    <xf numFmtId="4" fontId="21" fillId="15" borderId="30" xfId="0" applyNumberFormat="1" applyFont="1" applyFill="1" applyBorder="1"/>
    <xf numFmtId="0" fontId="21" fillId="15" borderId="27" xfId="0" applyFont="1" applyFill="1" applyBorder="1" applyAlignment="1">
      <alignment horizontal="left" vertical="center"/>
    </xf>
    <xf numFmtId="0" fontId="21" fillId="15" borderId="27" xfId="0" applyFont="1" applyFill="1" applyBorder="1" applyAlignment="1">
      <alignment vertical="center" wrapText="1"/>
    </xf>
    <xf numFmtId="0" fontId="24" fillId="15" borderId="3" xfId="0" applyFont="1" applyFill="1" applyBorder="1" applyAlignment="1">
      <alignment vertical="center" wrapText="1"/>
    </xf>
    <xf numFmtId="0" fontId="21" fillId="15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 wrapText="1"/>
    </xf>
    <xf numFmtId="0" fontId="21" fillId="15" borderId="40" xfId="0" applyFont="1" applyFill="1" applyBorder="1" applyAlignment="1">
      <alignment vertical="center"/>
    </xf>
    <xf numFmtId="0" fontId="0" fillId="15" borderId="0" xfId="0" applyFill="1"/>
    <xf numFmtId="4" fontId="21" fillId="15" borderId="16" xfId="0" applyNumberFormat="1" applyFont="1" applyFill="1" applyBorder="1"/>
    <xf numFmtId="4" fontId="21" fillId="15" borderId="4" xfId="0" applyNumberFormat="1" applyFont="1" applyFill="1" applyBorder="1"/>
    <xf numFmtId="0" fontId="9" fillId="15" borderId="49" xfId="0" applyFont="1" applyFill="1" applyBorder="1"/>
    <xf numFmtId="0" fontId="9" fillId="15" borderId="28" xfId="0" applyFont="1" applyFill="1" applyBorder="1"/>
    <xf numFmtId="0" fontId="9" fillId="15" borderId="3" xfId="0" applyFont="1" applyFill="1" applyBorder="1"/>
    <xf numFmtId="4" fontId="9" fillId="15" borderId="4" xfId="0" applyNumberFormat="1" applyFont="1" applyFill="1" applyBorder="1"/>
    <xf numFmtId="0" fontId="24" fillId="15" borderId="3" xfId="0" applyFont="1" applyFill="1" applyBorder="1" applyAlignment="1">
      <alignment horizontal="center" vertical="center"/>
    </xf>
    <xf numFmtId="0" fontId="24" fillId="15" borderId="3" xfId="0" applyFont="1" applyFill="1" applyBorder="1" applyAlignment="1">
      <alignment horizontal="left"/>
    </xf>
    <xf numFmtId="0" fontId="24" fillId="15" borderId="3" xfId="0" applyFont="1" applyFill="1" applyBorder="1" applyAlignment="1">
      <alignment wrapText="1"/>
    </xf>
    <xf numFmtId="4" fontId="24" fillId="15" borderId="3" xfId="0" applyNumberFormat="1" applyFont="1" applyFill="1" applyBorder="1"/>
    <xf numFmtId="4" fontId="36" fillId="15" borderId="3" xfId="0" applyNumberFormat="1" applyFont="1" applyFill="1" applyBorder="1"/>
    <xf numFmtId="0" fontId="21" fillId="15" borderId="39" xfId="0" applyFont="1" applyFill="1" applyBorder="1"/>
    <xf numFmtId="0" fontId="9" fillId="15" borderId="28" xfId="0" applyFont="1" applyFill="1" applyBorder="1" applyAlignment="1">
      <alignment horizontal="center" vertical="center"/>
    </xf>
    <xf numFmtId="4" fontId="32" fillId="15" borderId="51" xfId="0" applyNumberFormat="1" applyFont="1" applyFill="1" applyBorder="1"/>
    <xf numFmtId="4" fontId="21" fillId="15" borderId="0" xfId="0" applyNumberFormat="1" applyFont="1" applyFill="1"/>
    <xf numFmtId="0" fontId="21" fillId="15" borderId="3" xfId="0" applyFont="1" applyFill="1" applyBorder="1" applyAlignment="1">
      <alignment wrapText="1"/>
    </xf>
    <xf numFmtId="0" fontId="0" fillId="0" borderId="1" xfId="0" applyBorder="1"/>
    <xf numFmtId="0" fontId="37" fillId="0" borderId="1" xfId="0" applyFont="1" applyBorder="1"/>
    <xf numFmtId="165" fontId="21" fillId="0" borderId="46" xfId="0" applyNumberFormat="1" applyFont="1" applyBorder="1" applyAlignment="1">
      <alignment horizontal="right"/>
    </xf>
    <xf numFmtId="4" fontId="17" fillId="10" borderId="57" xfId="0" applyNumberFormat="1" applyFont="1" applyFill="1" applyBorder="1"/>
    <xf numFmtId="4" fontId="17" fillId="10" borderId="57" xfId="0" applyNumberFormat="1" applyFont="1" applyFill="1" applyBorder="1" applyAlignment="1">
      <alignment vertical="center"/>
    </xf>
    <xf numFmtId="4" fontId="33" fillId="10" borderId="57" xfId="0" applyNumberFormat="1" applyFont="1" applyFill="1" applyBorder="1" applyAlignment="1">
      <alignment vertical="center"/>
    </xf>
    <xf numFmtId="0" fontId="4" fillId="0" borderId="43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4" fontId="21" fillId="0" borderId="1" xfId="0" applyNumberFormat="1" applyFont="1" applyBorder="1" applyAlignment="1">
      <alignment wrapText="1"/>
    </xf>
    <xf numFmtId="4" fontId="21" fillId="0" borderId="31" xfId="0" applyNumberFormat="1" applyFont="1" applyBorder="1" applyAlignment="1">
      <alignment wrapText="1"/>
    </xf>
    <xf numFmtId="4" fontId="32" fillId="0" borderId="31" xfId="0" applyNumberFormat="1" applyFont="1" applyBorder="1" applyAlignment="1">
      <alignment wrapText="1"/>
    </xf>
    <xf numFmtId="165" fontId="17" fillId="10" borderId="23" xfId="0" applyNumberFormat="1" applyFont="1" applyFill="1" applyBorder="1" applyAlignment="1">
      <alignment horizontal="right" vertical="center"/>
    </xf>
    <xf numFmtId="165" fontId="24" fillId="0" borderId="3" xfId="0" applyNumberFormat="1" applyFont="1" applyBorder="1" applyAlignment="1">
      <alignment horizontal="right"/>
    </xf>
    <xf numFmtId="165" fontId="24" fillId="15" borderId="3" xfId="0" applyNumberFormat="1" applyFont="1" applyFill="1" applyBorder="1" applyAlignment="1">
      <alignment horizontal="right"/>
    </xf>
    <xf numFmtId="165" fontId="17" fillId="10" borderId="57" xfId="0" applyNumberFormat="1" applyFont="1" applyFill="1" applyBorder="1" applyAlignment="1">
      <alignment horizontal="right" vertical="center"/>
    </xf>
    <xf numFmtId="165" fontId="17" fillId="9" borderId="23" xfId="0" applyNumberFormat="1" applyFont="1" applyFill="1" applyBorder="1" applyAlignment="1">
      <alignment horizontal="right" vertical="center"/>
    </xf>
    <xf numFmtId="165" fontId="30" fillId="9" borderId="23" xfId="0" applyNumberFormat="1" applyFont="1" applyFill="1" applyBorder="1" applyAlignment="1">
      <alignment horizontal="right" vertical="center"/>
    </xf>
    <xf numFmtId="165" fontId="30" fillId="11" borderId="23" xfId="0" applyNumberFormat="1" applyFont="1" applyFill="1" applyBorder="1" applyAlignment="1">
      <alignment horizontal="right" vertical="center"/>
    </xf>
    <xf numFmtId="165" fontId="21" fillId="15" borderId="1" xfId="0" applyNumberFormat="1" applyFont="1" applyFill="1" applyBorder="1" applyAlignment="1">
      <alignment horizontal="right"/>
    </xf>
    <xf numFmtId="165" fontId="21" fillId="15" borderId="40" xfId="0" applyNumberFormat="1" applyFont="1" applyFill="1" applyBorder="1" applyAlignment="1">
      <alignment horizontal="right"/>
    </xf>
    <xf numFmtId="165" fontId="24" fillId="15" borderId="1" xfId="0" applyNumberFormat="1" applyFont="1" applyFill="1" applyBorder="1" applyAlignment="1">
      <alignment horizontal="right"/>
    </xf>
    <xf numFmtId="0" fontId="7" fillId="12" borderId="63" xfId="0" applyFont="1" applyFill="1" applyBorder="1" applyAlignment="1">
      <alignment horizontal="center"/>
    </xf>
    <xf numFmtId="0" fontId="28" fillId="12" borderId="64" xfId="0" applyFont="1" applyFill="1" applyBorder="1" applyAlignment="1">
      <alignment horizontal="center" vertical="center" wrapText="1"/>
    </xf>
    <xf numFmtId="164" fontId="8" fillId="14" borderId="65" xfId="0" applyNumberFormat="1" applyFont="1" applyFill="1" applyBorder="1"/>
    <xf numFmtId="4" fontId="6" fillId="0" borderId="66" xfId="0" applyNumberFormat="1" applyFont="1" applyBorder="1"/>
    <xf numFmtId="164" fontId="2" fillId="0" borderId="67" xfId="0" applyNumberFormat="1" applyFont="1" applyBorder="1"/>
    <xf numFmtId="164" fontId="7" fillId="0" borderId="66" xfId="0" applyNumberFormat="1" applyFont="1" applyBorder="1"/>
    <xf numFmtId="164" fontId="7" fillId="0" borderId="65" xfId="0" applyNumberFormat="1" applyFont="1" applyBorder="1"/>
    <xf numFmtId="164" fontId="7" fillId="3" borderId="64" xfId="0" applyNumberFormat="1" applyFont="1" applyFill="1" applyBorder="1"/>
    <xf numFmtId="0" fontId="11" fillId="12" borderId="23" xfId="0" applyFont="1" applyFill="1" applyBorder="1" applyAlignment="1">
      <alignment horizontal="center" vertical="center" wrapText="1"/>
    </xf>
    <xf numFmtId="0" fontId="28" fillId="12" borderId="36" xfId="0" applyFont="1" applyFill="1" applyBorder="1" applyAlignment="1">
      <alignment horizontal="center" vertical="center" wrapText="1"/>
    </xf>
    <xf numFmtId="0" fontId="7" fillId="12" borderId="64" xfId="0" applyFont="1" applyFill="1" applyBorder="1" applyAlignment="1">
      <alignment horizontal="center"/>
    </xf>
    <xf numFmtId="164" fontId="8" fillId="2" borderId="36" xfId="0" applyNumberFormat="1" applyFont="1" applyFill="1" applyBorder="1"/>
    <xf numFmtId="164" fontId="8" fillId="4" borderId="65" xfId="0" applyNumberFormat="1" applyFont="1" applyFill="1" applyBorder="1"/>
    <xf numFmtId="164" fontId="8" fillId="0" borderId="65" xfId="0" applyNumberFormat="1" applyFont="1" applyBorder="1"/>
    <xf numFmtId="164" fontId="8" fillId="2" borderId="68" xfId="0" applyNumberFormat="1" applyFont="1" applyFill="1" applyBorder="1"/>
    <xf numFmtId="164" fontId="7" fillId="4" borderId="65" xfId="0" applyNumberFormat="1" applyFont="1" applyFill="1" applyBorder="1"/>
    <xf numFmtId="49" fontId="7" fillId="0" borderId="43" xfId="0" applyNumberFormat="1" applyFont="1" applyBorder="1" applyAlignment="1">
      <alignment horizontal="center" vertical="center"/>
    </xf>
    <xf numFmtId="164" fontId="7" fillId="0" borderId="69" xfId="0" applyNumberFormat="1" applyFont="1" applyBorder="1"/>
    <xf numFmtId="49" fontId="4" fillId="0" borderId="43" xfId="0" applyNumberFormat="1" applyFont="1" applyBorder="1" applyAlignment="1">
      <alignment horizontal="center" vertical="center"/>
    </xf>
    <xf numFmtId="0" fontId="4" fillId="0" borderId="69" xfId="0" applyFont="1" applyBorder="1"/>
    <xf numFmtId="165" fontId="8" fillId="2" borderId="63" xfId="0" applyNumberFormat="1" applyFont="1" applyFill="1" applyBorder="1"/>
    <xf numFmtId="165" fontId="8" fillId="4" borderId="65" xfId="0" applyNumberFormat="1" applyFont="1" applyFill="1" applyBorder="1"/>
    <xf numFmtId="165" fontId="8" fillId="0" borderId="65" xfId="0" applyNumberFormat="1" applyFont="1" applyBorder="1"/>
    <xf numFmtId="165" fontId="7" fillId="0" borderId="65" xfId="0" applyNumberFormat="1" applyFont="1" applyBorder="1"/>
    <xf numFmtId="165" fontId="8" fillId="2" borderId="68" xfId="0" applyNumberFormat="1" applyFont="1" applyFill="1" applyBorder="1"/>
    <xf numFmtId="165" fontId="7" fillId="0" borderId="68" xfId="0" applyNumberFormat="1" applyFont="1" applyBorder="1" applyAlignment="1">
      <alignment vertical="center"/>
    </xf>
    <xf numFmtId="164" fontId="7" fillId="2" borderId="63" xfId="0" applyNumberFormat="1" applyFont="1" applyFill="1" applyBorder="1"/>
    <xf numFmtId="164" fontId="7" fillId="0" borderId="64" xfId="0" applyNumberFormat="1" applyFont="1" applyBorder="1"/>
    <xf numFmtId="4" fontId="17" fillId="10" borderId="25" xfId="0" applyNumberFormat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wrapText="1"/>
    </xf>
    <xf numFmtId="3" fontId="2" fillId="0" borderId="18" xfId="0" applyNumberFormat="1" applyFont="1" applyBorder="1"/>
    <xf numFmtId="164" fontId="7" fillId="0" borderId="70" xfId="0" applyNumberFormat="1" applyFont="1" applyBorder="1"/>
    <xf numFmtId="0" fontId="14" fillId="6" borderId="38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38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left" vertical="center"/>
    </xf>
    <xf numFmtId="0" fontId="9" fillId="5" borderId="38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5" fillId="6" borderId="38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9" fillId="5" borderId="38" xfId="0" applyFont="1" applyFill="1" applyBorder="1" applyAlignment="1">
      <alignment horizontal="left" wrapText="1"/>
    </xf>
    <xf numFmtId="0" fontId="19" fillId="5" borderId="12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5" fillId="6" borderId="38" xfId="0" applyFont="1" applyFill="1" applyBorder="1" applyAlignment="1">
      <alignment horizontal="left" vertical="distributed" wrapText="1"/>
    </xf>
    <xf numFmtId="0" fontId="15" fillId="6" borderId="12" xfId="0" applyFont="1" applyFill="1" applyBorder="1" applyAlignment="1">
      <alignment horizontal="left" vertical="distributed" wrapText="1"/>
    </xf>
    <xf numFmtId="0" fontId="15" fillId="6" borderId="13" xfId="0" applyFont="1" applyFill="1" applyBorder="1" applyAlignment="1">
      <alignment horizontal="left" vertical="distributed" wrapText="1"/>
    </xf>
    <xf numFmtId="0" fontId="25" fillId="5" borderId="38" xfId="0" applyFont="1" applyFill="1" applyBorder="1" applyAlignment="1">
      <alignment horizontal="left"/>
    </xf>
    <xf numFmtId="0" fontId="25" fillId="5" borderId="12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4" fillId="7" borderId="31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5" borderId="38" xfId="0" applyFont="1" applyFill="1" applyBorder="1" applyAlignment="1">
      <alignment horizontal="left" vertical="center"/>
    </xf>
    <xf numFmtId="0" fontId="25" fillId="5" borderId="12" xfId="0" applyFont="1" applyFill="1" applyBorder="1" applyAlignment="1">
      <alignment horizontal="left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left" vertical="center" wrapText="1"/>
    </xf>
    <xf numFmtId="0" fontId="25" fillId="5" borderId="1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6" borderId="38" xfId="0" applyFont="1" applyFill="1" applyBorder="1" applyAlignment="1">
      <alignment horizontal="left"/>
    </xf>
    <xf numFmtId="0" fontId="14" fillId="6" borderId="12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165" fontId="3" fillId="7" borderId="18" xfId="0" applyNumberFormat="1" applyFont="1" applyFill="1" applyBorder="1" applyAlignment="1">
      <alignment horizontal="right" wrapText="1"/>
    </xf>
    <xf numFmtId="165" fontId="3" fillId="7" borderId="31" xfId="0" applyNumberFormat="1" applyFont="1" applyFill="1" applyBorder="1" applyAlignment="1">
      <alignment horizontal="right" wrapText="1"/>
    </xf>
    <xf numFmtId="165" fontId="3" fillId="7" borderId="3" xfId="0" applyNumberFormat="1" applyFont="1" applyFill="1" applyBorder="1" applyAlignment="1">
      <alignment horizontal="right" wrapText="1"/>
    </xf>
    <xf numFmtId="0" fontId="19" fillId="5" borderId="38" xfId="0" applyFont="1" applyFill="1" applyBorder="1" applyAlignment="1">
      <alignment horizontal="left"/>
    </xf>
    <xf numFmtId="0" fontId="19" fillId="5" borderId="12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25" fillId="5" borderId="38" xfId="0" applyFont="1" applyFill="1" applyBorder="1" applyAlignment="1">
      <alignment horizontal="left" vertical="top" wrapText="1"/>
    </xf>
    <xf numFmtId="0" fontId="25" fillId="5" borderId="12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14" fillId="6" borderId="38" xfId="0" applyFont="1" applyFill="1" applyBorder="1" applyAlignment="1">
      <alignment horizontal="left" wrapText="1"/>
    </xf>
    <xf numFmtId="0" fontId="14" fillId="6" borderId="12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9" fillId="8" borderId="38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distributed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/>
    <xf numFmtId="0" fontId="28" fillId="12" borderId="45" xfId="0" applyFont="1" applyFill="1" applyBorder="1" applyAlignment="1">
      <alignment horizontal="center" vertical="center"/>
    </xf>
    <xf numFmtId="0" fontId="28" fillId="12" borderId="52" xfId="0" applyFont="1" applyFill="1" applyBorder="1" applyAlignment="1">
      <alignment horizontal="center" vertical="center"/>
    </xf>
    <xf numFmtId="0" fontId="28" fillId="1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49" fontId="41" fillId="0" borderId="0" xfId="0" applyNumberFormat="1" applyFont="1" applyAlignment="1">
      <alignment horizontal="left" vertical="center" wrapText="1"/>
    </xf>
    <xf numFmtId="0" fontId="11" fillId="3" borderId="3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>
      <alignment horizontal="center" vertical="center" wrapText="1"/>
    </xf>
    <xf numFmtId="165" fontId="24" fillId="15" borderId="46" xfId="0" applyNumberFormat="1" applyFont="1" applyFill="1" applyBorder="1" applyAlignment="1">
      <alignment horizontal="right"/>
    </xf>
    <xf numFmtId="165" fontId="24" fillId="15" borderId="31" xfId="0" applyNumberFormat="1" applyFont="1" applyFill="1" applyBorder="1" applyAlignment="1">
      <alignment horizontal="right"/>
    </xf>
    <xf numFmtId="165" fontId="24" fillId="15" borderId="3" xfId="0" applyNumberFormat="1" applyFont="1" applyFill="1" applyBorder="1" applyAlignment="1">
      <alignment horizontal="right"/>
    </xf>
    <xf numFmtId="165" fontId="24" fillId="0" borderId="46" xfId="0" applyNumberFormat="1" applyFont="1" applyBorder="1" applyAlignment="1">
      <alignment horizontal="right"/>
    </xf>
    <xf numFmtId="165" fontId="24" fillId="0" borderId="31" xfId="0" applyNumberFormat="1" applyFont="1" applyBorder="1" applyAlignment="1">
      <alignment horizontal="right"/>
    </xf>
    <xf numFmtId="165" fontId="24" fillId="0" borderId="3" xfId="0" applyNumberFormat="1" applyFont="1" applyBorder="1" applyAlignment="1">
      <alignment horizontal="right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65" fontId="21" fillId="0" borderId="46" xfId="0" applyNumberFormat="1" applyFont="1" applyBorder="1" applyAlignment="1">
      <alignment horizontal="right"/>
    </xf>
    <xf numFmtId="165" fontId="21" fillId="0" borderId="31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165" fontId="24" fillId="0" borderId="42" xfId="0" applyNumberFormat="1" applyFont="1" applyBorder="1" applyAlignment="1">
      <alignment horizontal="right"/>
    </xf>
    <xf numFmtId="0" fontId="17" fillId="9" borderId="38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10" borderId="60" xfId="0" applyFont="1" applyFill="1" applyBorder="1" applyAlignment="1">
      <alignment horizontal="center" vertical="distributed"/>
    </xf>
    <xf numFmtId="0" fontId="17" fillId="10" borderId="61" xfId="0" applyFont="1" applyFill="1" applyBorder="1" applyAlignment="1">
      <alignment horizontal="center" vertical="distributed"/>
    </xf>
    <xf numFmtId="0" fontId="17" fillId="10" borderId="62" xfId="0" applyFont="1" applyFill="1" applyBorder="1" applyAlignment="1">
      <alignment horizontal="center" vertical="distributed"/>
    </xf>
    <xf numFmtId="165" fontId="24" fillId="15" borderId="42" xfId="0" applyNumberFormat="1" applyFont="1" applyFill="1" applyBorder="1" applyAlignment="1">
      <alignment horizontal="right"/>
    </xf>
    <xf numFmtId="0" fontId="17" fillId="10" borderId="60" xfId="0" applyFont="1" applyFill="1" applyBorder="1" applyAlignment="1">
      <alignment horizontal="center" wrapText="1"/>
    </xf>
    <xf numFmtId="0" fontId="17" fillId="10" borderId="61" xfId="0" applyFont="1" applyFill="1" applyBorder="1" applyAlignment="1">
      <alignment horizontal="center" wrapText="1"/>
    </xf>
    <xf numFmtId="0" fontId="17" fillId="10" borderId="62" xfId="0" applyFont="1" applyFill="1" applyBorder="1" applyAlignment="1">
      <alignment horizontal="center" wrapText="1"/>
    </xf>
    <xf numFmtId="165" fontId="24" fillId="0" borderId="18" xfId="0" applyNumberFormat="1" applyFont="1" applyBorder="1" applyAlignment="1">
      <alignment horizontal="right"/>
    </xf>
    <xf numFmtId="0" fontId="17" fillId="10" borderId="58" xfId="0" applyFont="1" applyFill="1" applyBorder="1" applyAlignment="1">
      <alignment horizontal="center" vertical="distributed"/>
    </xf>
    <xf numFmtId="0" fontId="17" fillId="10" borderId="59" xfId="0" applyFont="1" applyFill="1" applyBorder="1" applyAlignment="1">
      <alignment horizontal="center" vertical="distributed"/>
    </xf>
    <xf numFmtId="0" fontId="17" fillId="10" borderId="14" xfId="0" applyFont="1" applyFill="1" applyBorder="1" applyAlignment="1">
      <alignment horizontal="center" vertical="distributed"/>
    </xf>
    <xf numFmtId="0" fontId="17" fillId="10" borderId="38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vertical="top" wrapText="1"/>
    </xf>
    <xf numFmtId="0" fontId="9" fillId="15" borderId="3" xfId="0" applyFont="1" applyFill="1" applyBorder="1" applyAlignment="1">
      <alignment vertical="top" wrapText="1"/>
    </xf>
    <xf numFmtId="0" fontId="21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distributed" shrinkToFit="1"/>
    </xf>
    <xf numFmtId="0" fontId="17" fillId="11" borderId="38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vertical="center" wrapText="1"/>
    </xf>
    <xf numFmtId="0" fontId="30" fillId="9" borderId="38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0" fontId="30" fillId="9" borderId="22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7" fillId="10" borderId="60" xfId="0" applyFont="1" applyFill="1" applyBorder="1" applyAlignment="1">
      <alignment horizontal="center" vertical="center" wrapText="1"/>
    </xf>
    <xf numFmtId="0" fontId="17" fillId="10" borderId="61" xfId="0" applyFont="1" applyFill="1" applyBorder="1" applyAlignment="1">
      <alignment horizontal="center" vertical="center" wrapText="1"/>
    </xf>
    <xf numFmtId="0" fontId="17" fillId="10" borderId="6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5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9E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09375" defaultRowHeight="13.2" x14ac:dyDescent="0.25"/>
  <cols>
    <col min="1" max="1" width="9" style="2" customWidth="1"/>
    <col min="2" max="2" width="4.109375" style="2" customWidth="1"/>
    <col min="3" max="3" width="7.44140625" style="2" customWidth="1"/>
    <col min="4" max="4" width="60.6640625" style="2" customWidth="1"/>
    <col min="5" max="5" width="20.44140625" style="2" hidden="1" customWidth="1"/>
    <col min="6" max="6" width="14.6640625" style="168" customWidth="1"/>
    <col min="7" max="8" width="14.6640625" style="278" customWidth="1"/>
    <col min="9" max="9" width="6.6640625" style="168" customWidth="1"/>
    <col min="10" max="10" width="7.109375" style="168" customWidth="1"/>
    <col min="11" max="16384" width="9.109375" style="2"/>
  </cols>
  <sheetData>
    <row r="2" spans="1:10" s="79" customFormat="1" ht="16.5" customHeight="1" x14ac:dyDescent="0.25">
      <c r="A2" s="806" t="s">
        <v>171</v>
      </c>
      <c r="B2" s="806"/>
      <c r="C2" s="806"/>
      <c r="D2" s="806"/>
      <c r="E2" s="806"/>
      <c r="F2" s="806"/>
      <c r="G2" s="806"/>
      <c r="H2" s="806"/>
      <c r="I2" s="806"/>
      <c r="J2" s="806"/>
    </row>
    <row r="3" spans="1:10" s="79" customFormat="1" ht="18" customHeight="1" x14ac:dyDescent="0.25">
      <c r="A3" s="806" t="s">
        <v>114</v>
      </c>
      <c r="B3" s="806"/>
      <c r="C3" s="806"/>
      <c r="D3" s="806"/>
      <c r="E3" s="806"/>
      <c r="F3" s="806"/>
      <c r="G3" s="806"/>
      <c r="H3" s="806"/>
      <c r="I3" s="806"/>
      <c r="J3" s="806"/>
    </row>
    <row r="4" spans="1:10" s="79" customFormat="1" ht="30" customHeight="1" x14ac:dyDescent="0.25">
      <c r="A4" s="816" t="s">
        <v>280</v>
      </c>
      <c r="B4" s="816"/>
      <c r="C4" s="816"/>
      <c r="D4" s="816"/>
      <c r="E4" s="816"/>
      <c r="F4" s="816"/>
      <c r="G4" s="816"/>
      <c r="H4" s="816"/>
      <c r="I4" s="816"/>
      <c r="J4" s="816"/>
    </row>
    <row r="5" spans="1:10" ht="13.5" customHeight="1" thickBot="1" x14ac:dyDescent="0.3">
      <c r="A5" s="81"/>
      <c r="B5" s="81"/>
      <c r="C5" s="81"/>
      <c r="D5" s="81"/>
      <c r="E5" s="81"/>
      <c r="F5" s="243"/>
      <c r="G5" s="303"/>
      <c r="H5" s="303"/>
      <c r="I5" s="224"/>
      <c r="J5" s="224"/>
    </row>
    <row r="6" spans="1:10" s="40" customFormat="1" ht="36.75" customHeight="1" thickBot="1" x14ac:dyDescent="0.3">
      <c r="A6" s="313" t="s">
        <v>172</v>
      </c>
      <c r="B6" s="82" t="s">
        <v>109</v>
      </c>
      <c r="C6" s="83" t="s">
        <v>10</v>
      </c>
      <c r="D6" s="84" t="s">
        <v>173</v>
      </c>
      <c r="E6" s="83" t="s">
        <v>174</v>
      </c>
      <c r="F6" s="83" t="s">
        <v>175</v>
      </c>
      <c r="G6" s="301" t="s">
        <v>176</v>
      </c>
      <c r="H6" s="301" t="s">
        <v>177</v>
      </c>
      <c r="I6" s="320" t="s">
        <v>341</v>
      </c>
      <c r="J6" s="321" t="s">
        <v>343</v>
      </c>
    </row>
    <row r="7" spans="1:10" s="257" customFormat="1" ht="10.8" thickBot="1" x14ac:dyDescent="0.3">
      <c r="A7" s="254">
        <v>1</v>
      </c>
      <c r="B7" s="255">
        <v>2</v>
      </c>
      <c r="C7" s="256">
        <v>3</v>
      </c>
      <c r="D7" s="255">
        <v>4</v>
      </c>
      <c r="E7" s="255">
        <v>2</v>
      </c>
      <c r="F7" s="255">
        <v>5</v>
      </c>
      <c r="G7" s="302">
        <v>6</v>
      </c>
      <c r="H7" s="302">
        <v>7</v>
      </c>
      <c r="I7" s="314">
        <v>8</v>
      </c>
      <c r="J7" s="315">
        <v>9</v>
      </c>
    </row>
    <row r="8" spans="1:10" s="216" customFormat="1" ht="36" customHeight="1" thickBot="1" x14ac:dyDescent="0.35">
      <c r="A8" s="824" t="s">
        <v>288</v>
      </c>
      <c r="B8" s="825"/>
      <c r="C8" s="825"/>
      <c r="D8" s="825"/>
      <c r="E8" s="215">
        <f>SUM(E499)</f>
        <v>5608000</v>
      </c>
      <c r="F8" s="258">
        <f>SUM(F499)</f>
        <v>8864000</v>
      </c>
      <c r="G8" s="258">
        <f>SUM(G499)</f>
        <v>5897500</v>
      </c>
      <c r="H8" s="258">
        <f>SUM(H499)</f>
        <v>6257000</v>
      </c>
      <c r="I8" s="245">
        <f>AVERAGE(G8/F8*100)</f>
        <v>66.53316787003611</v>
      </c>
      <c r="J8" s="245">
        <f>AVERAGE(H8/G8*100)</f>
        <v>106.09580330648581</v>
      </c>
    </row>
    <row r="9" spans="1:10" s="208" customFormat="1" ht="18" thickBot="1" x14ac:dyDescent="0.35">
      <c r="A9" s="86"/>
      <c r="B9" s="86"/>
      <c r="C9" s="86"/>
      <c r="D9" s="86"/>
      <c r="E9" s="87"/>
      <c r="F9" s="259"/>
      <c r="G9" s="259"/>
      <c r="H9" s="259"/>
      <c r="I9" s="225"/>
      <c r="J9" s="225"/>
    </row>
    <row r="10" spans="1:10" s="97" customFormat="1" ht="15" customHeight="1" thickBot="1" x14ac:dyDescent="0.35">
      <c r="A10" s="780" t="s">
        <v>269</v>
      </c>
      <c r="B10" s="781"/>
      <c r="C10" s="781"/>
      <c r="D10" s="781"/>
      <c r="E10" s="196">
        <f>SUM(E12+E27)</f>
        <v>61000</v>
      </c>
      <c r="F10" s="261">
        <f>SUM(F12+F27)</f>
        <v>94000</v>
      </c>
      <c r="G10" s="261">
        <f>SUM(G12+G27)</f>
        <v>88000</v>
      </c>
      <c r="H10" s="261">
        <f>SUM(H12+H27)</f>
        <v>87000</v>
      </c>
      <c r="I10" s="226">
        <f>AVERAGE(G10/F10*100)</f>
        <v>93.61702127659575</v>
      </c>
      <c r="J10" s="226">
        <f>AVERAGE(H10/G10*100)</f>
        <v>98.86363636363636</v>
      </c>
    </row>
    <row r="11" spans="1:10" s="154" customFormat="1" ht="17.25" customHeight="1" thickBot="1" x14ac:dyDescent="0.35">
      <c r="A11" s="89"/>
      <c r="B11" s="89"/>
      <c r="C11" s="89"/>
      <c r="D11" s="89"/>
      <c r="E11" s="90"/>
      <c r="F11" s="262"/>
      <c r="G11" s="262"/>
      <c r="H11" s="262"/>
      <c r="I11" s="227"/>
      <c r="J11" s="227"/>
    </row>
    <row r="12" spans="1:10" s="92" customFormat="1" ht="15.75" customHeight="1" thickBot="1" x14ac:dyDescent="0.35">
      <c r="A12" s="782" t="s">
        <v>267</v>
      </c>
      <c r="B12" s="783"/>
      <c r="C12" s="783"/>
      <c r="D12" s="784"/>
      <c r="E12" s="91">
        <f>SUM(E16)</f>
        <v>61000</v>
      </c>
      <c r="F12" s="263">
        <f>SUM(F16)</f>
        <v>69000</v>
      </c>
      <c r="G12" s="263">
        <f>SUM(G16)</f>
        <v>66000</v>
      </c>
      <c r="H12" s="263">
        <f>SUM(H16)</f>
        <v>66000</v>
      </c>
      <c r="I12" s="228">
        <f>AVERAGE(G12/F12*100)</f>
        <v>95.652173913043484</v>
      </c>
      <c r="J12" s="228">
        <f>AVERAGE(H12/G12*100)</f>
        <v>100</v>
      </c>
    </row>
    <row r="13" spans="1:10" s="209" customFormat="1" ht="16.5" customHeight="1" x14ac:dyDescent="0.3">
      <c r="A13" s="93"/>
      <c r="B13" s="93"/>
      <c r="C13" s="93"/>
      <c r="D13" s="93"/>
      <c r="E13" s="94"/>
      <c r="F13" s="264"/>
      <c r="G13" s="264"/>
      <c r="H13" s="264"/>
      <c r="I13" s="227"/>
      <c r="J13" s="227"/>
    </row>
    <row r="14" spans="1:10" s="97" customFormat="1" ht="15.6" x14ac:dyDescent="0.3">
      <c r="A14" s="1"/>
      <c r="B14" s="1"/>
      <c r="C14" s="1"/>
      <c r="D14" s="95" t="s">
        <v>178</v>
      </c>
      <c r="E14" s="96"/>
      <c r="F14" s="265"/>
      <c r="G14" s="265"/>
      <c r="H14" s="304"/>
      <c r="I14" s="233"/>
      <c r="J14" s="233"/>
    </row>
    <row r="15" spans="1:10" s="1" customFormat="1" ht="13.8" x14ac:dyDescent="0.25">
      <c r="D15" s="223" t="s">
        <v>179</v>
      </c>
      <c r="E15" s="98"/>
      <c r="F15" s="266"/>
      <c r="G15" s="266"/>
      <c r="H15" s="305"/>
      <c r="I15" s="234"/>
      <c r="J15" s="234"/>
    </row>
    <row r="16" spans="1:10" s="1" customFormat="1" ht="13.8" x14ac:dyDescent="0.25">
      <c r="A16" s="99"/>
      <c r="B16" s="99"/>
      <c r="C16" s="99"/>
      <c r="D16" s="247" t="s">
        <v>291</v>
      </c>
      <c r="E16" s="100">
        <f>SUM(E17+E23)</f>
        <v>61000</v>
      </c>
      <c r="F16" s="267">
        <f>SUM(F17+F23)</f>
        <v>69000</v>
      </c>
      <c r="G16" s="267">
        <f>SUM(G17+G23)</f>
        <v>66000</v>
      </c>
      <c r="H16" s="309">
        <f>SUM(H17+H23)</f>
        <v>66000</v>
      </c>
      <c r="I16" s="311">
        <f>AVERAGE(G16/F16*100)</f>
        <v>95.652173913043484</v>
      </c>
      <c r="J16" s="311">
        <f>AVERAGE(H16/G16*100)</f>
        <v>100</v>
      </c>
    </row>
    <row r="17" spans="1:10" s="1" customFormat="1" x14ac:dyDescent="0.25">
      <c r="A17" s="131" t="s">
        <v>292</v>
      </c>
      <c r="B17" s="101"/>
      <c r="C17" s="102">
        <v>32</v>
      </c>
      <c r="D17" s="101" t="s">
        <v>180</v>
      </c>
      <c r="E17" s="103">
        <f>SUM(E18+E20)</f>
        <v>50000</v>
      </c>
      <c r="F17" s="268">
        <f>SUM(F18+F20)</f>
        <v>58000</v>
      </c>
      <c r="G17" s="268">
        <v>55000</v>
      </c>
      <c r="H17" s="268">
        <v>55000</v>
      </c>
      <c r="I17" s="310">
        <f>AVERAGE(G17/F17*100)</f>
        <v>94.827586206896555</v>
      </c>
      <c r="J17" s="310">
        <f>AVERAGE(H17/G17*100)</f>
        <v>100</v>
      </c>
    </row>
    <row r="18" spans="1:10" s="130" customFormat="1" ht="13.8" x14ac:dyDescent="0.25">
      <c r="A18" s="131" t="s">
        <v>292</v>
      </c>
      <c r="B18" s="129"/>
      <c r="C18" s="126">
        <v>323</v>
      </c>
      <c r="D18" s="127" t="s">
        <v>56</v>
      </c>
      <c r="E18" s="128">
        <f>SUM(E19)</f>
        <v>0</v>
      </c>
      <c r="F18" s="269">
        <f>SUM(F19)</f>
        <v>5000</v>
      </c>
      <c r="G18" s="269"/>
      <c r="H18" s="269"/>
      <c r="I18" s="310">
        <f t="shared" ref="I18:J25" si="0">AVERAGE(G18/F18*100)</f>
        <v>0</v>
      </c>
      <c r="J18" s="310"/>
    </row>
    <row r="19" spans="1:10" s="112" customFormat="1" ht="13.8" hidden="1" x14ac:dyDescent="0.25">
      <c r="A19" s="131" t="s">
        <v>292</v>
      </c>
      <c r="B19" s="129">
        <v>1</v>
      </c>
      <c r="C19" s="132">
        <v>3233</v>
      </c>
      <c r="D19" s="133" t="s">
        <v>59</v>
      </c>
      <c r="E19" s="134">
        <v>0</v>
      </c>
      <c r="F19" s="270">
        <v>5000</v>
      </c>
      <c r="G19" s="270"/>
      <c r="H19" s="270"/>
      <c r="I19" s="310">
        <f t="shared" si="0"/>
        <v>0</v>
      </c>
      <c r="J19" s="310"/>
    </row>
    <row r="20" spans="1:10" s="104" customFormat="1" ht="13.8" x14ac:dyDescent="0.25">
      <c r="A20" s="131" t="s">
        <v>292</v>
      </c>
      <c r="B20" s="101"/>
      <c r="C20" s="102">
        <v>329</v>
      </c>
      <c r="D20" s="101" t="s">
        <v>65</v>
      </c>
      <c r="E20" s="103">
        <f>SUM(E21:E22)</f>
        <v>50000</v>
      </c>
      <c r="F20" s="268">
        <f>SUM(F21:F22)</f>
        <v>53000</v>
      </c>
      <c r="G20" s="268"/>
      <c r="H20" s="268"/>
      <c r="I20" s="310">
        <f t="shared" si="0"/>
        <v>0</v>
      </c>
      <c r="J20" s="310"/>
    </row>
    <row r="21" spans="1:10" s="104" customFormat="1" ht="13.8" hidden="1" x14ac:dyDescent="0.25">
      <c r="A21" s="131" t="s">
        <v>292</v>
      </c>
      <c r="B21" s="105">
        <v>2</v>
      </c>
      <c r="C21" s="106">
        <v>3291</v>
      </c>
      <c r="D21" s="105" t="s">
        <v>66</v>
      </c>
      <c r="E21" s="107">
        <v>50000</v>
      </c>
      <c r="F21" s="271">
        <v>50000</v>
      </c>
      <c r="G21" s="271"/>
      <c r="H21" s="271"/>
      <c r="I21" s="310">
        <f t="shared" si="0"/>
        <v>0</v>
      </c>
      <c r="J21" s="310"/>
    </row>
    <row r="22" spans="1:10" s="104" customFormat="1" ht="13.8" hidden="1" x14ac:dyDescent="0.25">
      <c r="A22" s="131" t="s">
        <v>292</v>
      </c>
      <c r="B22" s="105">
        <v>3</v>
      </c>
      <c r="C22" s="106">
        <v>3293</v>
      </c>
      <c r="D22" s="105" t="s">
        <v>68</v>
      </c>
      <c r="E22" s="107">
        <v>0</v>
      </c>
      <c r="F22" s="271">
        <v>3000</v>
      </c>
      <c r="G22" s="271"/>
      <c r="H22" s="271"/>
      <c r="I22" s="310">
        <f t="shared" si="0"/>
        <v>0</v>
      </c>
      <c r="J22" s="310"/>
    </row>
    <row r="23" spans="1:10" s="1" customFormat="1" x14ac:dyDescent="0.25">
      <c r="A23" s="131" t="s">
        <v>292</v>
      </c>
      <c r="B23" s="101"/>
      <c r="C23" s="102">
        <v>38</v>
      </c>
      <c r="D23" s="101" t="s">
        <v>85</v>
      </c>
      <c r="E23" s="103">
        <f>SUM(E24)</f>
        <v>11000</v>
      </c>
      <c r="F23" s="268">
        <f>SUM(F24)</f>
        <v>11000</v>
      </c>
      <c r="G23" s="268">
        <v>11000</v>
      </c>
      <c r="H23" s="268">
        <v>11000</v>
      </c>
      <c r="I23" s="310">
        <f t="shared" si="0"/>
        <v>100</v>
      </c>
      <c r="J23" s="310">
        <f t="shared" si="0"/>
        <v>100</v>
      </c>
    </row>
    <row r="24" spans="1:10" s="104" customFormat="1" ht="13.8" x14ac:dyDescent="0.25">
      <c r="A24" s="131" t="s">
        <v>292</v>
      </c>
      <c r="B24" s="101"/>
      <c r="C24" s="102">
        <v>381</v>
      </c>
      <c r="D24" s="101" t="s">
        <v>37</v>
      </c>
      <c r="E24" s="103">
        <f>SUM(E25)</f>
        <v>11000</v>
      </c>
      <c r="F24" s="268">
        <f>SUM(F25)</f>
        <v>11000</v>
      </c>
      <c r="G24" s="268"/>
      <c r="H24" s="268"/>
      <c r="I24" s="310">
        <f t="shared" si="0"/>
        <v>0</v>
      </c>
      <c r="J24" s="310"/>
    </row>
    <row r="25" spans="1:10" s="104" customFormat="1" ht="13.8" hidden="1" x14ac:dyDescent="0.25">
      <c r="A25" s="131" t="s">
        <v>292</v>
      </c>
      <c r="B25" s="105">
        <v>4</v>
      </c>
      <c r="C25" s="106">
        <v>381142</v>
      </c>
      <c r="D25" s="105" t="s">
        <v>83</v>
      </c>
      <c r="E25" s="107">
        <v>11000</v>
      </c>
      <c r="F25" s="271">
        <v>11000</v>
      </c>
      <c r="G25" s="271"/>
      <c r="H25" s="271"/>
      <c r="I25" s="310">
        <f t="shared" si="0"/>
        <v>0</v>
      </c>
      <c r="J25" s="310"/>
    </row>
    <row r="26" spans="1:10" s="104" customFormat="1" ht="14.4" thickBot="1" x14ac:dyDescent="0.3">
      <c r="A26" s="109"/>
      <c r="B26" s="109"/>
      <c r="C26" s="110"/>
      <c r="D26" s="109"/>
      <c r="E26" s="111"/>
      <c r="F26" s="272"/>
      <c r="G26" s="273"/>
      <c r="H26" s="273"/>
      <c r="I26" s="232"/>
      <c r="J26" s="232"/>
    </row>
    <row r="27" spans="1:10" s="92" customFormat="1" ht="15.75" customHeight="1" thickBot="1" x14ac:dyDescent="0.35">
      <c r="A27" s="782" t="s">
        <v>268</v>
      </c>
      <c r="B27" s="783"/>
      <c r="C27" s="783"/>
      <c r="D27" s="784"/>
      <c r="E27" s="91">
        <f>SUM(E31)</f>
        <v>0</v>
      </c>
      <c r="F27" s="263">
        <f>SUM(F31)</f>
        <v>25000</v>
      </c>
      <c r="G27" s="263">
        <f>SUM(G31)</f>
        <v>22000</v>
      </c>
      <c r="H27" s="263">
        <f>SUM(H31)</f>
        <v>21000</v>
      </c>
      <c r="I27" s="228">
        <f>AVERAGE(G27/F27*100)</f>
        <v>88</v>
      </c>
      <c r="J27" s="228">
        <f>AVERAGE(H27/G27*100)</f>
        <v>95.454545454545453</v>
      </c>
    </row>
    <row r="28" spans="1:10" s="209" customFormat="1" ht="16.5" customHeight="1" x14ac:dyDescent="0.3">
      <c r="A28" s="93"/>
      <c r="B28" s="93"/>
      <c r="C28" s="93"/>
      <c r="D28" s="93"/>
      <c r="E28" s="94"/>
      <c r="F28" s="264"/>
      <c r="G28" s="264"/>
      <c r="H28" s="264"/>
      <c r="I28" s="227"/>
      <c r="J28" s="227"/>
    </row>
    <row r="29" spans="1:10" s="97" customFormat="1" ht="15.6" x14ac:dyDescent="0.3">
      <c r="A29" s="1"/>
      <c r="B29" s="1"/>
      <c r="C29" s="1"/>
      <c r="D29" s="95" t="s">
        <v>178</v>
      </c>
      <c r="E29" s="96"/>
      <c r="F29" s="265"/>
      <c r="G29" s="265"/>
      <c r="H29" s="265"/>
      <c r="I29" s="229"/>
      <c r="J29" s="229"/>
    </row>
    <row r="30" spans="1:10" s="1" customFormat="1" ht="13.8" x14ac:dyDescent="0.25">
      <c r="D30" s="223" t="s">
        <v>179</v>
      </c>
      <c r="E30" s="98"/>
      <c r="F30" s="266"/>
      <c r="G30" s="266"/>
      <c r="H30" s="266"/>
      <c r="I30" s="230"/>
      <c r="J30" s="230"/>
    </row>
    <row r="31" spans="1:10" s="1" customFormat="1" ht="13.8" x14ac:dyDescent="0.25">
      <c r="A31" s="99"/>
      <c r="B31" s="99"/>
      <c r="C31" s="99"/>
      <c r="D31" s="247" t="s">
        <v>294</v>
      </c>
      <c r="E31" s="100">
        <f>SUM(E32+E38)</f>
        <v>0</v>
      </c>
      <c r="F31" s="267">
        <f>SUM(F32+F38)</f>
        <v>25000</v>
      </c>
      <c r="G31" s="267">
        <f>SUM(G32+G38)</f>
        <v>22000</v>
      </c>
      <c r="H31" s="267">
        <f>SUM(H32+H38)</f>
        <v>21000</v>
      </c>
      <c r="I31" s="311">
        <f>AVERAGE(G31/F31*100)</f>
        <v>88</v>
      </c>
      <c r="J31" s="311">
        <f>AVERAGE(H31/G31*100)</f>
        <v>95.454545454545453</v>
      </c>
    </row>
    <row r="32" spans="1:10" s="1" customFormat="1" x14ac:dyDescent="0.25">
      <c r="A32" s="131" t="s">
        <v>293</v>
      </c>
      <c r="B32" s="101"/>
      <c r="C32" s="102">
        <v>32</v>
      </c>
      <c r="D32" s="101" t="s">
        <v>180</v>
      </c>
      <c r="E32" s="103">
        <f>SUM(E33+E35)</f>
        <v>0</v>
      </c>
      <c r="F32" s="268">
        <f>SUM(F33+F35)</f>
        <v>22000</v>
      </c>
      <c r="G32" s="268">
        <v>20000</v>
      </c>
      <c r="H32" s="268">
        <v>20000</v>
      </c>
      <c r="I32" s="310">
        <f t="shared" ref="I32:J40" si="1">AVERAGE(G32/F32*100)</f>
        <v>90.909090909090907</v>
      </c>
      <c r="J32" s="310">
        <f t="shared" si="1"/>
        <v>100</v>
      </c>
    </row>
    <row r="33" spans="1:10" s="130" customFormat="1" ht="13.8" x14ac:dyDescent="0.25">
      <c r="A33" s="131" t="s">
        <v>293</v>
      </c>
      <c r="B33" s="129"/>
      <c r="C33" s="126">
        <v>323</v>
      </c>
      <c r="D33" s="127" t="s">
        <v>56</v>
      </c>
      <c r="E33" s="128">
        <f>SUM(E34)</f>
        <v>0</v>
      </c>
      <c r="F33" s="269">
        <f>SUM(F34)</f>
        <v>10000</v>
      </c>
      <c r="G33" s="269"/>
      <c r="H33" s="269"/>
      <c r="I33" s="310">
        <f t="shared" si="1"/>
        <v>0</v>
      </c>
      <c r="J33" s="310"/>
    </row>
    <row r="34" spans="1:10" s="112" customFormat="1" ht="13.8" hidden="1" x14ac:dyDescent="0.25">
      <c r="A34" s="131" t="s">
        <v>293</v>
      </c>
      <c r="B34" s="129">
        <v>5</v>
      </c>
      <c r="C34" s="132">
        <v>3233</v>
      </c>
      <c r="D34" s="133" t="s">
        <v>59</v>
      </c>
      <c r="E34" s="134">
        <v>0</v>
      </c>
      <c r="F34" s="270">
        <v>10000</v>
      </c>
      <c r="G34" s="270"/>
      <c r="H34" s="270"/>
      <c r="I34" s="310">
        <f t="shared" si="1"/>
        <v>0</v>
      </c>
      <c r="J34" s="310"/>
    </row>
    <row r="35" spans="1:10" s="104" customFormat="1" ht="13.8" x14ac:dyDescent="0.25">
      <c r="A35" s="131" t="s">
        <v>293</v>
      </c>
      <c r="B35" s="101"/>
      <c r="C35" s="102">
        <v>329</v>
      </c>
      <c r="D35" s="101" t="s">
        <v>65</v>
      </c>
      <c r="E35" s="103">
        <f>SUM(E36:E37)</f>
        <v>0</v>
      </c>
      <c r="F35" s="268">
        <f>SUM(F36:F37)</f>
        <v>12000</v>
      </c>
      <c r="G35" s="268"/>
      <c r="H35" s="268"/>
      <c r="I35" s="310">
        <f t="shared" si="1"/>
        <v>0</v>
      </c>
      <c r="J35" s="310"/>
    </row>
    <row r="36" spans="1:10" s="104" customFormat="1" ht="13.8" hidden="1" x14ac:dyDescent="0.25">
      <c r="A36" s="131" t="s">
        <v>293</v>
      </c>
      <c r="B36" s="105">
        <v>6</v>
      </c>
      <c r="C36" s="106">
        <v>3293</v>
      </c>
      <c r="D36" s="105" t="s">
        <v>68</v>
      </c>
      <c r="E36" s="107">
        <v>0</v>
      </c>
      <c r="F36" s="271">
        <v>2000</v>
      </c>
      <c r="G36" s="271"/>
      <c r="H36" s="271"/>
      <c r="I36" s="310">
        <f t="shared" si="1"/>
        <v>0</v>
      </c>
      <c r="J36" s="310"/>
    </row>
    <row r="37" spans="1:10" s="104" customFormat="1" ht="13.8" hidden="1" x14ac:dyDescent="0.25">
      <c r="A37" s="131" t="s">
        <v>293</v>
      </c>
      <c r="B37" s="105">
        <v>7</v>
      </c>
      <c r="C37" s="106">
        <v>3299</v>
      </c>
      <c r="D37" s="105" t="s">
        <v>65</v>
      </c>
      <c r="E37" s="107">
        <v>0</v>
      </c>
      <c r="F37" s="271">
        <v>10000</v>
      </c>
      <c r="G37" s="271"/>
      <c r="H37" s="271"/>
      <c r="I37" s="310">
        <f t="shared" si="1"/>
        <v>0</v>
      </c>
      <c r="J37" s="310"/>
    </row>
    <row r="38" spans="1:10" s="1" customFormat="1" x14ac:dyDescent="0.25">
      <c r="A38" s="131" t="s">
        <v>293</v>
      </c>
      <c r="B38" s="101"/>
      <c r="C38" s="102">
        <v>38</v>
      </c>
      <c r="D38" s="101" t="s">
        <v>85</v>
      </c>
      <c r="E38" s="103">
        <f>SUM(E39)</f>
        <v>0</v>
      </c>
      <c r="F38" s="268">
        <f>SUM(F39)</f>
        <v>3000</v>
      </c>
      <c r="G38" s="268">
        <v>2000</v>
      </c>
      <c r="H38" s="268">
        <v>1000</v>
      </c>
      <c r="I38" s="310">
        <f t="shared" si="1"/>
        <v>66.666666666666657</v>
      </c>
      <c r="J38" s="310">
        <f t="shared" si="1"/>
        <v>50</v>
      </c>
    </row>
    <row r="39" spans="1:10" s="104" customFormat="1" ht="13.8" x14ac:dyDescent="0.25">
      <c r="A39" s="131" t="s">
        <v>293</v>
      </c>
      <c r="B39" s="101"/>
      <c r="C39" s="102">
        <v>381</v>
      </c>
      <c r="D39" s="101" t="s">
        <v>37</v>
      </c>
      <c r="E39" s="103">
        <f>SUM(E40)</f>
        <v>0</v>
      </c>
      <c r="F39" s="268">
        <f>SUM(F40)</f>
        <v>3000</v>
      </c>
      <c r="G39" s="268"/>
      <c r="H39" s="268"/>
      <c r="I39" s="310">
        <f t="shared" si="1"/>
        <v>0</v>
      </c>
      <c r="J39" s="310"/>
    </row>
    <row r="40" spans="1:10" s="104" customFormat="1" ht="13.8" hidden="1" x14ac:dyDescent="0.25">
      <c r="A40" s="131" t="s">
        <v>293</v>
      </c>
      <c r="B40" s="105">
        <v>8</v>
      </c>
      <c r="C40" s="106">
        <v>3811</v>
      </c>
      <c r="D40" s="105" t="s">
        <v>37</v>
      </c>
      <c r="E40" s="107">
        <v>0</v>
      </c>
      <c r="F40" s="271">
        <v>3000</v>
      </c>
      <c r="G40" s="271"/>
      <c r="H40" s="271"/>
      <c r="I40" s="310">
        <f t="shared" si="1"/>
        <v>0</v>
      </c>
      <c r="J40" s="310"/>
    </row>
    <row r="41" spans="1:10" s="104" customFormat="1" ht="14.4" thickBot="1" x14ac:dyDescent="0.3">
      <c r="A41" s="109"/>
      <c r="B41" s="109"/>
      <c r="C41" s="110"/>
      <c r="D41" s="109"/>
      <c r="E41" s="111"/>
      <c r="F41" s="273"/>
      <c r="G41" s="273"/>
      <c r="H41" s="273"/>
      <c r="I41" s="232"/>
      <c r="J41" s="232"/>
    </row>
    <row r="42" spans="1:10" s="112" customFormat="1" ht="17.399999999999999" thickBot="1" x14ac:dyDescent="0.35">
      <c r="A42" s="785" t="s">
        <v>270</v>
      </c>
      <c r="B42" s="786"/>
      <c r="C42" s="786"/>
      <c r="D42" s="787"/>
      <c r="E42" s="88">
        <f>SUM(E44)</f>
        <v>2116000</v>
      </c>
      <c r="F42" s="274">
        <f>SUM(F44)</f>
        <v>1273000</v>
      </c>
      <c r="G42" s="274">
        <f>SUM(G44)</f>
        <v>1260000</v>
      </c>
      <c r="H42" s="274">
        <f>SUM(H44)</f>
        <v>1230000</v>
      </c>
      <c r="I42" s="226">
        <f>AVERAGE(G42/F42*100)</f>
        <v>98.978790259230166</v>
      </c>
      <c r="J42" s="226">
        <f>AVERAGE(H42/G42*100)</f>
        <v>97.61904761904762</v>
      </c>
    </row>
    <row r="43" spans="1:10" s="112" customFormat="1" ht="16.2" thickBot="1" x14ac:dyDescent="0.35">
      <c r="A43" s="113"/>
      <c r="B43" s="97"/>
      <c r="C43" s="97"/>
      <c r="D43" s="97"/>
      <c r="E43" s="94"/>
      <c r="F43" s="264"/>
      <c r="G43" s="264"/>
      <c r="H43" s="264"/>
      <c r="I43" s="227"/>
      <c r="J43" s="227"/>
    </row>
    <row r="44" spans="1:10" s="112" customFormat="1" ht="16.2" thickBot="1" x14ac:dyDescent="0.35">
      <c r="A44" s="788" t="s">
        <v>271</v>
      </c>
      <c r="B44" s="789"/>
      <c r="C44" s="789"/>
      <c r="D44" s="790"/>
      <c r="E44" s="91">
        <f>SUM(E48+E66+E101+E111+E118+E125)</f>
        <v>2116000</v>
      </c>
      <c r="F44" s="263">
        <f>SUM(F48+F66+F101+F111+F118+F125)</f>
        <v>1273000</v>
      </c>
      <c r="G44" s="263">
        <f>SUM(G48+G66+G101+G111+G118+G125)</f>
        <v>1260000</v>
      </c>
      <c r="H44" s="263">
        <f>SUM(H48+H66+H101+H111+H118+H125)</f>
        <v>1230000</v>
      </c>
      <c r="I44" s="228">
        <f>AVERAGE(G44/F44*100)</f>
        <v>98.978790259230166</v>
      </c>
      <c r="J44" s="228">
        <f>AVERAGE(H44/G44*100)</f>
        <v>97.61904761904762</v>
      </c>
    </row>
    <row r="45" spans="1:10" s="112" customFormat="1" ht="15.6" x14ac:dyDescent="0.3">
      <c r="A45" s="114"/>
      <c r="B45" s="115"/>
      <c r="C45" s="115"/>
      <c r="D45" s="114"/>
      <c r="E45" s="94"/>
      <c r="F45" s="264"/>
      <c r="G45" s="264"/>
      <c r="H45" s="264"/>
      <c r="I45" s="227"/>
      <c r="J45" s="227"/>
    </row>
    <row r="46" spans="1:10" s="112" customFormat="1" ht="13.8" x14ac:dyDescent="0.25">
      <c r="A46" s="116"/>
      <c r="B46" s="116"/>
      <c r="C46" s="116"/>
      <c r="D46" s="117" t="s">
        <v>181</v>
      </c>
      <c r="E46" s="118"/>
      <c r="F46" s="275"/>
      <c r="G46" s="304"/>
      <c r="H46" s="307"/>
      <c r="I46" s="233"/>
      <c r="J46" s="233"/>
    </row>
    <row r="47" spans="1:10" s="112" customFormat="1" ht="13.8" x14ac:dyDescent="0.25">
      <c r="A47" s="116"/>
      <c r="B47" s="116"/>
      <c r="C47" s="116"/>
      <c r="D47" s="220" t="s">
        <v>182</v>
      </c>
      <c r="E47" s="120"/>
      <c r="F47" s="276"/>
      <c r="G47" s="305"/>
      <c r="H47" s="308"/>
      <c r="I47" s="234"/>
      <c r="J47" s="234"/>
    </row>
    <row r="48" spans="1:10" s="112" customFormat="1" ht="13.8" x14ac:dyDescent="0.25">
      <c r="A48" s="122"/>
      <c r="B48" s="122"/>
      <c r="C48" s="122"/>
      <c r="D48" s="246" t="s">
        <v>272</v>
      </c>
      <c r="E48" s="123">
        <f>SUM(E49+E57)</f>
        <v>694000</v>
      </c>
      <c r="F48" s="277">
        <f>SUM(F49+F57)</f>
        <v>614000</v>
      </c>
      <c r="G48" s="277">
        <f>SUM(G49+G57)</f>
        <v>620000</v>
      </c>
      <c r="H48" s="277">
        <f>SUM(H49+H57)</f>
        <v>625000</v>
      </c>
      <c r="I48" s="311">
        <f>AVERAGE(G48/F48*100)</f>
        <v>100.9771986970684</v>
      </c>
      <c r="J48" s="311">
        <f>AVERAGE(H48/G48*100)</f>
        <v>100.80645161290323</v>
      </c>
    </row>
    <row r="49" spans="1:10" s="112" customFormat="1" ht="13.8" x14ac:dyDescent="0.25">
      <c r="A49" s="131" t="s">
        <v>292</v>
      </c>
      <c r="B49" s="125"/>
      <c r="C49" s="126">
        <v>31</v>
      </c>
      <c r="D49" s="127" t="s">
        <v>41</v>
      </c>
      <c r="E49" s="128">
        <f>SUM(E50+E52+E54)</f>
        <v>613000</v>
      </c>
      <c r="F49" s="269">
        <f>SUM(F50+F52+F54)</f>
        <v>533000</v>
      </c>
      <c r="G49" s="269">
        <v>540000</v>
      </c>
      <c r="H49" s="269">
        <v>550000</v>
      </c>
      <c r="I49" s="310">
        <f t="shared" ref="I49:J62" si="2">AVERAGE(G49/F49*100)</f>
        <v>101.31332082551594</v>
      </c>
      <c r="J49" s="310">
        <f t="shared" si="2"/>
        <v>101.85185185185186</v>
      </c>
    </row>
    <row r="50" spans="1:10" s="130" customFormat="1" ht="13.8" x14ac:dyDescent="0.25">
      <c r="A50" s="131" t="s">
        <v>292</v>
      </c>
      <c r="B50" s="129"/>
      <c r="C50" s="126">
        <v>311</v>
      </c>
      <c r="D50" s="127" t="s">
        <v>183</v>
      </c>
      <c r="E50" s="128">
        <f>SUM(E51)</f>
        <v>500000</v>
      </c>
      <c r="F50" s="269">
        <f>SUM(F51)</f>
        <v>420000</v>
      </c>
      <c r="G50" s="269"/>
      <c r="H50" s="269"/>
      <c r="I50" s="310">
        <f t="shared" si="2"/>
        <v>0</v>
      </c>
      <c r="J50" s="310"/>
    </row>
    <row r="51" spans="1:10" s="112" customFormat="1" ht="13.8" hidden="1" x14ac:dyDescent="0.25">
      <c r="A51" s="131" t="s">
        <v>292</v>
      </c>
      <c r="B51" s="129">
        <v>9</v>
      </c>
      <c r="C51" s="132">
        <v>3111</v>
      </c>
      <c r="D51" s="133" t="s">
        <v>184</v>
      </c>
      <c r="E51" s="134">
        <v>500000</v>
      </c>
      <c r="F51" s="270">
        <v>420000</v>
      </c>
      <c r="G51" s="270"/>
      <c r="H51" s="270"/>
      <c r="I51" s="310">
        <f t="shared" si="2"/>
        <v>0</v>
      </c>
      <c r="J51" s="310"/>
    </row>
    <row r="52" spans="1:10" s="130" customFormat="1" ht="13.8" x14ac:dyDescent="0.25">
      <c r="A52" s="131" t="s">
        <v>292</v>
      </c>
      <c r="B52" s="125"/>
      <c r="C52" s="126">
        <v>312</v>
      </c>
      <c r="D52" s="127" t="s">
        <v>43</v>
      </c>
      <c r="E52" s="128">
        <f>SUM(E53)</f>
        <v>25000</v>
      </c>
      <c r="F52" s="269">
        <f>SUM(F53)</f>
        <v>25000</v>
      </c>
      <c r="G52" s="269"/>
      <c r="H52" s="269"/>
      <c r="I52" s="310">
        <f t="shared" si="2"/>
        <v>0</v>
      </c>
      <c r="J52" s="310"/>
    </row>
    <row r="53" spans="1:10" s="112" customFormat="1" ht="13.8" hidden="1" x14ac:dyDescent="0.25">
      <c r="A53" s="131" t="s">
        <v>292</v>
      </c>
      <c r="B53" s="129">
        <v>10</v>
      </c>
      <c r="C53" s="132">
        <v>3121</v>
      </c>
      <c r="D53" s="133" t="s">
        <v>43</v>
      </c>
      <c r="E53" s="134">
        <v>25000</v>
      </c>
      <c r="F53" s="270">
        <v>25000</v>
      </c>
      <c r="G53" s="270"/>
      <c r="H53" s="270"/>
      <c r="I53" s="310">
        <f t="shared" si="2"/>
        <v>0</v>
      </c>
      <c r="J53" s="310"/>
    </row>
    <row r="54" spans="1:10" s="112" customFormat="1" ht="13.8" x14ac:dyDescent="0.25">
      <c r="A54" s="131" t="s">
        <v>292</v>
      </c>
      <c r="B54" s="125"/>
      <c r="C54" s="126">
        <v>313</v>
      </c>
      <c r="D54" s="127" t="s">
        <v>44</v>
      </c>
      <c r="E54" s="128">
        <f>SUM(E55:E56)</f>
        <v>88000</v>
      </c>
      <c r="F54" s="269">
        <f>SUM(F55:F56)</f>
        <v>88000</v>
      </c>
      <c r="G54" s="269"/>
      <c r="H54" s="269"/>
      <c r="I54" s="310">
        <f t="shared" si="2"/>
        <v>0</v>
      </c>
      <c r="J54" s="310"/>
    </row>
    <row r="55" spans="1:10" s="112" customFormat="1" ht="13.8" hidden="1" x14ac:dyDescent="0.25">
      <c r="A55" s="131" t="s">
        <v>292</v>
      </c>
      <c r="B55" s="129">
        <v>11</v>
      </c>
      <c r="C55" s="132">
        <v>3132</v>
      </c>
      <c r="D55" s="133" t="s">
        <v>185</v>
      </c>
      <c r="E55" s="134">
        <v>75000</v>
      </c>
      <c r="F55" s="270">
        <v>75000</v>
      </c>
      <c r="G55" s="270"/>
      <c r="H55" s="270"/>
      <c r="I55" s="310">
        <f t="shared" si="2"/>
        <v>0</v>
      </c>
      <c r="J55" s="310"/>
    </row>
    <row r="56" spans="1:10" s="112" customFormat="1" ht="13.8" hidden="1" x14ac:dyDescent="0.25">
      <c r="A56" s="131" t="s">
        <v>292</v>
      </c>
      <c r="B56" s="129">
        <v>12</v>
      </c>
      <c r="C56" s="132">
        <v>3133</v>
      </c>
      <c r="D56" s="133" t="s">
        <v>186</v>
      </c>
      <c r="E56" s="134">
        <v>13000</v>
      </c>
      <c r="F56" s="270">
        <v>13000</v>
      </c>
      <c r="G56" s="270"/>
      <c r="H56" s="270"/>
      <c r="I56" s="310">
        <f t="shared" si="2"/>
        <v>0</v>
      </c>
      <c r="J56" s="310"/>
    </row>
    <row r="57" spans="1:10" s="112" customFormat="1" ht="13.8" x14ac:dyDescent="0.25">
      <c r="A57" s="131" t="s">
        <v>292</v>
      </c>
      <c r="B57" s="125"/>
      <c r="C57" s="126">
        <v>32</v>
      </c>
      <c r="D57" s="127" t="s">
        <v>47</v>
      </c>
      <c r="E57" s="128">
        <f>SUM(E58)</f>
        <v>81000</v>
      </c>
      <c r="F57" s="269">
        <f>SUM(F58)</f>
        <v>81000</v>
      </c>
      <c r="G57" s="269">
        <v>80000</v>
      </c>
      <c r="H57" s="269">
        <v>75000</v>
      </c>
      <c r="I57" s="310">
        <f t="shared" si="2"/>
        <v>98.76543209876543</v>
      </c>
      <c r="J57" s="310">
        <f t="shared" si="2"/>
        <v>93.75</v>
      </c>
    </row>
    <row r="58" spans="1:10" s="112" customFormat="1" ht="13.8" x14ac:dyDescent="0.25">
      <c r="A58" s="131" t="s">
        <v>292</v>
      </c>
      <c r="B58" s="125"/>
      <c r="C58" s="126">
        <v>321</v>
      </c>
      <c r="D58" s="127" t="s">
        <v>48</v>
      </c>
      <c r="E58" s="128">
        <f>SUM(E59:E62)</f>
        <v>81000</v>
      </c>
      <c r="F58" s="269">
        <f>SUM(F59:F62)</f>
        <v>81000</v>
      </c>
      <c r="G58" s="269"/>
      <c r="H58" s="269"/>
      <c r="I58" s="310">
        <f t="shared" si="2"/>
        <v>0</v>
      </c>
      <c r="J58" s="310"/>
    </row>
    <row r="59" spans="1:10" s="135" customFormat="1" ht="13.8" hidden="1" x14ac:dyDescent="0.25">
      <c r="A59" s="131" t="s">
        <v>292</v>
      </c>
      <c r="B59" s="129">
        <v>13</v>
      </c>
      <c r="C59" s="132">
        <v>3211</v>
      </c>
      <c r="D59" s="133" t="s">
        <v>49</v>
      </c>
      <c r="E59" s="134">
        <v>30000</v>
      </c>
      <c r="F59" s="270">
        <v>30000</v>
      </c>
      <c r="G59" s="270"/>
      <c r="H59" s="270"/>
      <c r="I59" s="310">
        <f t="shared" si="2"/>
        <v>0</v>
      </c>
      <c r="J59" s="310"/>
    </row>
    <row r="60" spans="1:10" s="130" customFormat="1" ht="13.8" hidden="1" x14ac:dyDescent="0.25">
      <c r="A60" s="131" t="s">
        <v>292</v>
      </c>
      <c r="B60" s="129">
        <v>14</v>
      </c>
      <c r="C60" s="132">
        <v>3212</v>
      </c>
      <c r="D60" s="133" t="s">
        <v>50</v>
      </c>
      <c r="E60" s="134">
        <v>26000</v>
      </c>
      <c r="F60" s="270">
        <v>26000</v>
      </c>
      <c r="G60" s="270"/>
      <c r="H60" s="270"/>
      <c r="I60" s="310">
        <f t="shared" si="2"/>
        <v>0</v>
      </c>
      <c r="J60" s="310"/>
    </row>
    <row r="61" spans="1:10" s="112" customFormat="1" ht="13.8" hidden="1" x14ac:dyDescent="0.25">
      <c r="A61" s="131" t="s">
        <v>292</v>
      </c>
      <c r="B61" s="129">
        <v>15</v>
      </c>
      <c r="C61" s="132">
        <v>3213</v>
      </c>
      <c r="D61" s="133" t="s">
        <v>51</v>
      </c>
      <c r="E61" s="134">
        <v>10000</v>
      </c>
      <c r="F61" s="270">
        <v>10000</v>
      </c>
      <c r="G61" s="270"/>
      <c r="H61" s="270"/>
      <c r="I61" s="310">
        <f t="shared" si="2"/>
        <v>0</v>
      </c>
      <c r="J61" s="310"/>
    </row>
    <row r="62" spans="1:10" s="112" customFormat="1" ht="13.8" hidden="1" x14ac:dyDescent="0.25">
      <c r="A62" s="131" t="s">
        <v>292</v>
      </c>
      <c r="B62" s="129">
        <v>16</v>
      </c>
      <c r="C62" s="132">
        <v>3214</v>
      </c>
      <c r="D62" s="133" t="s">
        <v>187</v>
      </c>
      <c r="E62" s="134">
        <v>15000</v>
      </c>
      <c r="F62" s="270">
        <v>15000</v>
      </c>
      <c r="G62" s="270"/>
      <c r="H62" s="270"/>
      <c r="I62" s="310">
        <f t="shared" si="2"/>
        <v>0</v>
      </c>
      <c r="J62" s="310"/>
    </row>
    <row r="63" spans="1:10" s="112" customFormat="1" ht="13.8" x14ac:dyDescent="0.25">
      <c r="A63" s="136"/>
      <c r="B63" s="2"/>
      <c r="C63" s="137"/>
      <c r="D63" s="138"/>
      <c r="E63" s="139"/>
      <c r="F63" s="278"/>
      <c r="G63" s="278"/>
      <c r="H63" s="278"/>
      <c r="I63" s="227"/>
      <c r="J63" s="227"/>
    </row>
    <row r="64" spans="1:10" s="112" customFormat="1" ht="13.8" x14ac:dyDescent="0.25">
      <c r="A64" s="140"/>
      <c r="B64" s="140"/>
      <c r="C64" s="140"/>
      <c r="D64" s="141" t="s">
        <v>178</v>
      </c>
      <c r="E64" s="119"/>
      <c r="F64" s="275"/>
      <c r="G64" s="275"/>
      <c r="H64" s="304"/>
      <c r="I64" s="233"/>
      <c r="J64" s="233"/>
    </row>
    <row r="65" spans="1:10" s="1" customFormat="1" ht="13.8" x14ac:dyDescent="0.25">
      <c r="A65" s="140"/>
      <c r="B65" s="140"/>
      <c r="C65" s="140"/>
      <c r="D65" s="222" t="s">
        <v>188</v>
      </c>
      <c r="E65" s="121"/>
      <c r="F65" s="276"/>
      <c r="G65" s="276"/>
      <c r="H65" s="305"/>
      <c r="I65" s="234"/>
      <c r="J65" s="234"/>
    </row>
    <row r="66" spans="1:10" s="1" customFormat="1" ht="13.8" x14ac:dyDescent="0.25">
      <c r="A66" s="142"/>
      <c r="B66" s="142"/>
      <c r="C66" s="142"/>
      <c r="D66" s="246" t="s">
        <v>290</v>
      </c>
      <c r="E66" s="124">
        <f>SUM(E67+E91)</f>
        <v>1335000</v>
      </c>
      <c r="F66" s="279">
        <f>SUM(F67+F91)</f>
        <v>554000</v>
      </c>
      <c r="G66" s="279">
        <f>SUM(G67+G91)</f>
        <v>545000</v>
      </c>
      <c r="H66" s="279">
        <f>SUM(H67+H91)</f>
        <v>515000</v>
      </c>
      <c r="I66" s="311">
        <f>AVERAGE(G66/F66*100)</f>
        <v>98.375451263537911</v>
      </c>
      <c r="J66" s="311">
        <f>AVERAGE(H66/G66*100)</f>
        <v>94.495412844036693</v>
      </c>
    </row>
    <row r="67" spans="1:10" s="1" customFormat="1" x14ac:dyDescent="0.25">
      <c r="A67" s="131" t="s">
        <v>306</v>
      </c>
      <c r="B67" s="125"/>
      <c r="C67" s="126">
        <v>32</v>
      </c>
      <c r="D67" s="127" t="s">
        <v>47</v>
      </c>
      <c r="E67" s="128">
        <f>SUM(E68+E73+E82+E84)</f>
        <v>1314000</v>
      </c>
      <c r="F67" s="269">
        <f>SUM(F68+F73+F82+F84)</f>
        <v>541000</v>
      </c>
      <c r="G67" s="269">
        <v>530000</v>
      </c>
      <c r="H67" s="269">
        <v>500000</v>
      </c>
      <c r="I67" s="310">
        <f>AVERAGE(G67/F67*100)</f>
        <v>97.966728280961178</v>
      </c>
      <c r="J67" s="310">
        <f>AVERAGE(H67/G67*100)</f>
        <v>94.339622641509436</v>
      </c>
    </row>
    <row r="68" spans="1:10" s="130" customFormat="1" ht="13.8" x14ac:dyDescent="0.25">
      <c r="A68" s="131" t="s">
        <v>306</v>
      </c>
      <c r="B68" s="125"/>
      <c r="C68" s="126">
        <v>322</v>
      </c>
      <c r="D68" s="127" t="s">
        <v>52</v>
      </c>
      <c r="E68" s="128">
        <f>SUM(E69:E72)</f>
        <v>293000</v>
      </c>
      <c r="F68" s="269">
        <f>SUM(F69:F72)</f>
        <v>225000</v>
      </c>
      <c r="G68" s="269"/>
      <c r="H68" s="269"/>
      <c r="I68" s="310">
        <f t="shared" ref="I68:I91" si="3">AVERAGE(G68/F68*100)</f>
        <v>0</v>
      </c>
      <c r="J68" s="310"/>
    </row>
    <row r="69" spans="1:10" s="130" customFormat="1" ht="13.8" hidden="1" x14ac:dyDescent="0.25">
      <c r="A69" s="131" t="s">
        <v>306</v>
      </c>
      <c r="B69" s="129">
        <v>17</v>
      </c>
      <c r="C69" s="132">
        <v>3221</v>
      </c>
      <c r="D69" s="133" t="s">
        <v>53</v>
      </c>
      <c r="E69" s="134">
        <v>15000</v>
      </c>
      <c r="F69" s="270">
        <v>15000</v>
      </c>
      <c r="G69" s="270"/>
      <c r="H69" s="270"/>
      <c r="I69" s="310">
        <f t="shared" si="3"/>
        <v>0</v>
      </c>
      <c r="J69" s="310"/>
    </row>
    <row r="70" spans="1:10" s="112" customFormat="1" ht="13.8" hidden="1" x14ac:dyDescent="0.25">
      <c r="A70" s="131" t="s">
        <v>306</v>
      </c>
      <c r="B70" s="129">
        <v>18</v>
      </c>
      <c r="C70" s="132">
        <v>3223</v>
      </c>
      <c r="D70" s="133" t="s">
        <v>54</v>
      </c>
      <c r="E70" s="134">
        <v>250000</v>
      </c>
      <c r="F70" s="270">
        <v>200000</v>
      </c>
      <c r="G70" s="270"/>
      <c r="H70" s="270"/>
      <c r="I70" s="310">
        <f t="shared" si="3"/>
        <v>0</v>
      </c>
      <c r="J70" s="310"/>
    </row>
    <row r="71" spans="1:10" s="112" customFormat="1" ht="13.8" hidden="1" x14ac:dyDescent="0.25">
      <c r="A71" s="131" t="s">
        <v>306</v>
      </c>
      <c r="B71" s="129">
        <v>19</v>
      </c>
      <c r="C71" s="132">
        <v>3224</v>
      </c>
      <c r="D71" s="133" t="s">
        <v>189</v>
      </c>
      <c r="E71" s="134">
        <v>20000</v>
      </c>
      <c r="F71" s="270">
        <v>5000</v>
      </c>
      <c r="G71" s="270"/>
      <c r="H71" s="270"/>
      <c r="I71" s="310">
        <f t="shared" si="3"/>
        <v>0</v>
      </c>
      <c r="J71" s="310"/>
    </row>
    <row r="72" spans="1:10" s="112" customFormat="1" ht="13.8" hidden="1" x14ac:dyDescent="0.25">
      <c r="A72" s="131" t="s">
        <v>306</v>
      </c>
      <c r="B72" s="129">
        <v>20</v>
      </c>
      <c r="C72" s="132">
        <v>3225</v>
      </c>
      <c r="D72" s="133" t="s">
        <v>190</v>
      </c>
      <c r="E72" s="134">
        <v>8000</v>
      </c>
      <c r="F72" s="270">
        <v>5000</v>
      </c>
      <c r="G72" s="270"/>
      <c r="H72" s="270"/>
      <c r="I72" s="310">
        <f t="shared" si="3"/>
        <v>0</v>
      </c>
      <c r="J72" s="310"/>
    </row>
    <row r="73" spans="1:10" s="112" customFormat="1" ht="13.8" x14ac:dyDescent="0.25">
      <c r="A73" s="131" t="s">
        <v>306</v>
      </c>
      <c r="B73" s="101"/>
      <c r="C73" s="143">
        <v>323</v>
      </c>
      <c r="D73" s="144" t="s">
        <v>56</v>
      </c>
      <c r="E73" s="128">
        <f>SUM(E74:E81)</f>
        <v>896000</v>
      </c>
      <c r="F73" s="269">
        <f>SUM(F74:F81)</f>
        <v>225000</v>
      </c>
      <c r="G73" s="269"/>
      <c r="H73" s="269"/>
      <c r="I73" s="310">
        <f t="shared" si="3"/>
        <v>0</v>
      </c>
      <c r="J73" s="310"/>
    </row>
    <row r="74" spans="1:10" s="1" customFormat="1" hidden="1" x14ac:dyDescent="0.25">
      <c r="A74" s="131" t="s">
        <v>306</v>
      </c>
      <c r="B74" s="105">
        <v>21</v>
      </c>
      <c r="C74" s="145">
        <v>3231</v>
      </c>
      <c r="D74" s="146" t="s">
        <v>57</v>
      </c>
      <c r="E74" s="107">
        <v>35000</v>
      </c>
      <c r="F74" s="271">
        <v>30000</v>
      </c>
      <c r="G74" s="271"/>
      <c r="H74" s="271"/>
      <c r="I74" s="310">
        <f t="shared" si="3"/>
        <v>0</v>
      </c>
      <c r="J74" s="310"/>
    </row>
    <row r="75" spans="1:10" s="1" customFormat="1" hidden="1" x14ac:dyDescent="0.25">
      <c r="A75" s="131" t="s">
        <v>306</v>
      </c>
      <c r="B75" s="105">
        <v>22</v>
      </c>
      <c r="C75" s="145">
        <v>3232</v>
      </c>
      <c r="D75" s="146" t="s">
        <v>191</v>
      </c>
      <c r="E75" s="107">
        <v>500000</v>
      </c>
      <c r="F75" s="271">
        <v>5000</v>
      </c>
      <c r="G75" s="271"/>
      <c r="H75" s="271"/>
      <c r="I75" s="310">
        <f t="shared" si="3"/>
        <v>0</v>
      </c>
      <c r="J75" s="310"/>
    </row>
    <row r="76" spans="1:10" s="130" customFormat="1" ht="13.8" hidden="1" x14ac:dyDescent="0.25">
      <c r="A76" s="131" t="s">
        <v>306</v>
      </c>
      <c r="B76" s="105">
        <v>23</v>
      </c>
      <c r="C76" s="145">
        <v>3233</v>
      </c>
      <c r="D76" s="105" t="s">
        <v>59</v>
      </c>
      <c r="E76" s="107">
        <v>30000</v>
      </c>
      <c r="F76" s="271">
        <v>10000</v>
      </c>
      <c r="G76" s="271"/>
      <c r="H76" s="271"/>
      <c r="I76" s="310">
        <f t="shared" si="3"/>
        <v>0</v>
      </c>
      <c r="J76" s="310"/>
    </row>
    <row r="77" spans="1:10" s="130" customFormat="1" ht="13.8" hidden="1" x14ac:dyDescent="0.25">
      <c r="A77" s="131" t="s">
        <v>306</v>
      </c>
      <c r="B77" s="105">
        <v>24</v>
      </c>
      <c r="C77" s="145">
        <v>3234</v>
      </c>
      <c r="D77" s="105" t="s">
        <v>60</v>
      </c>
      <c r="E77" s="107">
        <v>120000</v>
      </c>
      <c r="F77" s="271">
        <v>35000</v>
      </c>
      <c r="G77" s="271"/>
      <c r="H77" s="271"/>
      <c r="I77" s="310">
        <f t="shared" si="3"/>
        <v>0</v>
      </c>
      <c r="J77" s="310"/>
    </row>
    <row r="78" spans="1:10" s="112" customFormat="1" ht="26.4" hidden="1" x14ac:dyDescent="0.25">
      <c r="A78" s="131" t="s">
        <v>306</v>
      </c>
      <c r="B78" s="105">
        <v>25</v>
      </c>
      <c r="C78" s="145">
        <v>3236</v>
      </c>
      <c r="D78" s="146" t="s">
        <v>192</v>
      </c>
      <c r="E78" s="107">
        <v>1000</v>
      </c>
      <c r="F78" s="271">
        <v>5000</v>
      </c>
      <c r="G78" s="271"/>
      <c r="H78" s="271"/>
      <c r="I78" s="310">
        <f t="shared" si="3"/>
        <v>0</v>
      </c>
      <c r="J78" s="310"/>
    </row>
    <row r="79" spans="1:10" s="75" customFormat="1" hidden="1" x14ac:dyDescent="0.25">
      <c r="A79" s="131" t="s">
        <v>306</v>
      </c>
      <c r="B79" s="105">
        <v>26</v>
      </c>
      <c r="C79" s="145">
        <v>3237</v>
      </c>
      <c r="D79" s="146" t="s">
        <v>62</v>
      </c>
      <c r="E79" s="107">
        <v>180000</v>
      </c>
      <c r="F79" s="271">
        <v>130000</v>
      </c>
      <c r="G79" s="271"/>
      <c r="H79" s="271"/>
      <c r="I79" s="310">
        <f t="shared" si="3"/>
        <v>0</v>
      </c>
      <c r="J79" s="310"/>
    </row>
    <row r="80" spans="1:10" s="75" customFormat="1" hidden="1" x14ac:dyDescent="0.25">
      <c r="A80" s="131" t="s">
        <v>306</v>
      </c>
      <c r="B80" s="105">
        <v>27</v>
      </c>
      <c r="C80" s="145">
        <v>3238</v>
      </c>
      <c r="D80" s="146" t="s">
        <v>63</v>
      </c>
      <c r="E80" s="107">
        <v>5000</v>
      </c>
      <c r="F80" s="271">
        <v>5000</v>
      </c>
      <c r="G80" s="271"/>
      <c r="H80" s="271"/>
      <c r="I80" s="310">
        <f t="shared" si="3"/>
        <v>0</v>
      </c>
      <c r="J80" s="310"/>
    </row>
    <row r="81" spans="1:10" s="75" customFormat="1" hidden="1" x14ac:dyDescent="0.25">
      <c r="A81" s="131" t="s">
        <v>306</v>
      </c>
      <c r="B81" s="105">
        <v>28</v>
      </c>
      <c r="C81" s="145">
        <v>3239</v>
      </c>
      <c r="D81" s="146" t="s">
        <v>64</v>
      </c>
      <c r="E81" s="107">
        <v>25000</v>
      </c>
      <c r="F81" s="271">
        <v>5000</v>
      </c>
      <c r="G81" s="271"/>
      <c r="H81" s="271"/>
      <c r="I81" s="310">
        <f t="shared" si="3"/>
        <v>0</v>
      </c>
      <c r="J81" s="310"/>
    </row>
    <row r="82" spans="1:10" s="130" customFormat="1" ht="13.8" x14ac:dyDescent="0.25">
      <c r="A82" s="131" t="s">
        <v>306</v>
      </c>
      <c r="B82" s="101"/>
      <c r="C82" s="143">
        <v>324</v>
      </c>
      <c r="D82" s="144" t="s">
        <v>142</v>
      </c>
      <c r="E82" s="128">
        <f>SUM(E83)</f>
        <v>1000</v>
      </c>
      <c r="F82" s="269">
        <f>SUM(F83)</f>
        <v>6000</v>
      </c>
      <c r="G82" s="269"/>
      <c r="H82" s="269"/>
      <c r="I82" s="310">
        <f t="shared" si="3"/>
        <v>0</v>
      </c>
      <c r="J82" s="310"/>
    </row>
    <row r="83" spans="1:10" s="130" customFormat="1" ht="13.8" hidden="1" x14ac:dyDescent="0.25">
      <c r="A83" s="131" t="s">
        <v>306</v>
      </c>
      <c r="B83" s="105">
        <v>29</v>
      </c>
      <c r="C83" s="145">
        <v>3241</v>
      </c>
      <c r="D83" s="146" t="s">
        <v>142</v>
      </c>
      <c r="E83" s="107">
        <v>1000</v>
      </c>
      <c r="F83" s="271">
        <v>6000</v>
      </c>
      <c r="G83" s="271"/>
      <c r="H83" s="271"/>
      <c r="I83" s="310">
        <f t="shared" si="3"/>
        <v>0</v>
      </c>
      <c r="J83" s="310"/>
    </row>
    <row r="84" spans="1:10" s="112" customFormat="1" ht="13.8" x14ac:dyDescent="0.25">
      <c r="A84" s="131" t="s">
        <v>306</v>
      </c>
      <c r="B84" s="101"/>
      <c r="C84" s="143">
        <v>329</v>
      </c>
      <c r="D84" s="144" t="s">
        <v>65</v>
      </c>
      <c r="E84" s="103">
        <f>SUM(E85:E90)</f>
        <v>124000</v>
      </c>
      <c r="F84" s="268">
        <f>SUM(F85:F90)</f>
        <v>85000</v>
      </c>
      <c r="G84" s="268"/>
      <c r="H84" s="268"/>
      <c r="I84" s="310">
        <f t="shared" si="3"/>
        <v>0</v>
      </c>
      <c r="J84" s="310"/>
    </row>
    <row r="85" spans="1:10" s="1" customFormat="1" hidden="1" x14ac:dyDescent="0.25">
      <c r="A85" s="131" t="s">
        <v>306</v>
      </c>
      <c r="B85" s="105">
        <v>30</v>
      </c>
      <c r="C85" s="145">
        <v>3292</v>
      </c>
      <c r="D85" s="146" t="s">
        <v>67</v>
      </c>
      <c r="E85" s="107">
        <v>12000</v>
      </c>
      <c r="F85" s="271">
        <v>17000</v>
      </c>
      <c r="G85" s="271"/>
      <c r="H85" s="271"/>
      <c r="I85" s="310">
        <f t="shared" si="3"/>
        <v>0</v>
      </c>
      <c r="J85" s="310"/>
    </row>
    <row r="86" spans="1:10" s="1" customFormat="1" hidden="1" x14ac:dyDescent="0.25">
      <c r="A86" s="131" t="s">
        <v>306</v>
      </c>
      <c r="B86" s="105">
        <v>31</v>
      </c>
      <c r="C86" s="145">
        <v>3293</v>
      </c>
      <c r="D86" s="146" t="s">
        <v>68</v>
      </c>
      <c r="E86" s="107">
        <v>80000</v>
      </c>
      <c r="F86" s="271">
        <v>50000</v>
      </c>
      <c r="G86" s="271"/>
      <c r="H86" s="271"/>
      <c r="I86" s="310">
        <f t="shared" si="3"/>
        <v>0</v>
      </c>
      <c r="J86" s="310"/>
    </row>
    <row r="87" spans="1:10" s="1" customFormat="1" hidden="1" x14ac:dyDescent="0.25">
      <c r="A87" s="131" t="s">
        <v>306</v>
      </c>
      <c r="B87" s="105">
        <v>32</v>
      </c>
      <c r="C87" s="145">
        <v>3294</v>
      </c>
      <c r="D87" s="146" t="s">
        <v>69</v>
      </c>
      <c r="E87" s="107">
        <v>4000</v>
      </c>
      <c r="F87" s="271">
        <v>5000</v>
      </c>
      <c r="G87" s="271"/>
      <c r="H87" s="271"/>
      <c r="I87" s="310">
        <f t="shared" si="3"/>
        <v>0</v>
      </c>
      <c r="J87" s="310"/>
    </row>
    <row r="88" spans="1:10" s="130" customFormat="1" ht="13.8" hidden="1" x14ac:dyDescent="0.25">
      <c r="A88" s="131" t="s">
        <v>306</v>
      </c>
      <c r="B88" s="105">
        <v>33</v>
      </c>
      <c r="C88" s="145">
        <v>3295</v>
      </c>
      <c r="D88" s="146" t="s">
        <v>193</v>
      </c>
      <c r="E88" s="107">
        <v>4000</v>
      </c>
      <c r="F88" s="271">
        <v>4000</v>
      </c>
      <c r="G88" s="271"/>
      <c r="H88" s="271"/>
      <c r="I88" s="310">
        <f t="shared" si="3"/>
        <v>0</v>
      </c>
      <c r="J88" s="310"/>
    </row>
    <row r="89" spans="1:10" s="130" customFormat="1" ht="13.8" hidden="1" x14ac:dyDescent="0.25">
      <c r="A89" s="131" t="s">
        <v>306</v>
      </c>
      <c r="B89" s="105">
        <v>34</v>
      </c>
      <c r="C89" s="145">
        <v>3296</v>
      </c>
      <c r="D89" s="146" t="s">
        <v>194</v>
      </c>
      <c r="E89" s="107">
        <v>0</v>
      </c>
      <c r="F89" s="271">
        <v>1000</v>
      </c>
      <c r="G89" s="271"/>
      <c r="H89" s="271"/>
      <c r="I89" s="310">
        <f t="shared" si="3"/>
        <v>0</v>
      </c>
      <c r="J89" s="310"/>
    </row>
    <row r="90" spans="1:10" s="130" customFormat="1" ht="13.8" hidden="1" x14ac:dyDescent="0.25">
      <c r="A90" s="131" t="s">
        <v>306</v>
      </c>
      <c r="B90" s="105">
        <v>35</v>
      </c>
      <c r="C90" s="145">
        <v>3299</v>
      </c>
      <c r="D90" s="146" t="s">
        <v>65</v>
      </c>
      <c r="E90" s="107">
        <v>24000</v>
      </c>
      <c r="F90" s="271">
        <v>8000</v>
      </c>
      <c r="G90" s="271"/>
      <c r="H90" s="271"/>
      <c r="I90" s="310">
        <f t="shared" si="3"/>
        <v>0</v>
      </c>
      <c r="J90" s="310"/>
    </row>
    <row r="91" spans="1:10" s="112" customFormat="1" ht="13.8" x14ac:dyDescent="0.25">
      <c r="A91" s="131" t="s">
        <v>306</v>
      </c>
      <c r="B91" s="147"/>
      <c r="C91" s="148">
        <v>34</v>
      </c>
      <c r="D91" s="149" t="s">
        <v>70</v>
      </c>
      <c r="E91" s="150">
        <f>SUM(E92+E94)</f>
        <v>21000</v>
      </c>
      <c r="F91" s="280">
        <f>SUM(F94)</f>
        <v>13000</v>
      </c>
      <c r="G91" s="280">
        <v>15000</v>
      </c>
      <c r="H91" s="280">
        <v>15000</v>
      </c>
      <c r="I91" s="310">
        <f t="shared" si="3"/>
        <v>115.38461538461537</v>
      </c>
      <c r="J91" s="310">
        <f>AVERAGE(H91/G91*100)</f>
        <v>100</v>
      </c>
    </row>
    <row r="92" spans="1:10" s="130" customFormat="1" ht="13.8" x14ac:dyDescent="0.25">
      <c r="A92" s="131" t="s">
        <v>306</v>
      </c>
      <c r="B92" s="101"/>
      <c r="C92" s="143">
        <v>342</v>
      </c>
      <c r="D92" s="144" t="s">
        <v>266</v>
      </c>
      <c r="E92" s="128">
        <f>SUM(E93)</f>
        <v>5000</v>
      </c>
      <c r="F92" s="269">
        <f>SUM(F93)</f>
        <v>0</v>
      </c>
      <c r="G92" s="269"/>
      <c r="H92" s="269"/>
      <c r="I92" s="310">
        <v>0</v>
      </c>
      <c r="J92" s="310"/>
    </row>
    <row r="93" spans="1:10" s="130" customFormat="1" ht="13.8" hidden="1" x14ac:dyDescent="0.25">
      <c r="A93" s="131" t="s">
        <v>306</v>
      </c>
      <c r="B93" s="105">
        <v>36</v>
      </c>
      <c r="C93" s="145">
        <v>3423</v>
      </c>
      <c r="D93" s="146" t="s">
        <v>266</v>
      </c>
      <c r="E93" s="107">
        <v>5000</v>
      </c>
      <c r="F93" s="271">
        <v>0</v>
      </c>
      <c r="G93" s="271"/>
      <c r="H93" s="271"/>
      <c r="I93" s="310">
        <v>0</v>
      </c>
      <c r="J93" s="310"/>
    </row>
    <row r="94" spans="1:10" s="112" customFormat="1" ht="13.8" x14ac:dyDescent="0.25">
      <c r="A94" s="131" t="s">
        <v>306</v>
      </c>
      <c r="B94" s="101"/>
      <c r="C94" s="143">
        <v>343</v>
      </c>
      <c r="D94" s="144" t="s">
        <v>71</v>
      </c>
      <c r="E94" s="103">
        <f>SUM(E95:E97)</f>
        <v>16000</v>
      </c>
      <c r="F94" s="268">
        <f>SUM(F95:F97)</f>
        <v>13000</v>
      </c>
      <c r="G94" s="268"/>
      <c r="H94" s="268"/>
      <c r="I94" s="310">
        <f>AVERAGE(G94/F94*100)</f>
        <v>0</v>
      </c>
      <c r="J94" s="310"/>
    </row>
    <row r="95" spans="1:10" s="112" customFormat="1" ht="13.8" hidden="1" x14ac:dyDescent="0.25">
      <c r="A95" s="131" t="s">
        <v>306</v>
      </c>
      <c r="B95" s="105">
        <v>37</v>
      </c>
      <c r="C95" s="145">
        <v>3431</v>
      </c>
      <c r="D95" s="146" t="s">
        <v>72</v>
      </c>
      <c r="E95" s="107">
        <v>11000</v>
      </c>
      <c r="F95" s="271">
        <v>10000</v>
      </c>
      <c r="G95" s="271"/>
      <c r="H95" s="271"/>
      <c r="I95" s="310">
        <f>AVERAGE(G95/F95*100)</f>
        <v>0</v>
      </c>
      <c r="J95" s="310"/>
    </row>
    <row r="96" spans="1:10" s="112" customFormat="1" ht="13.8" hidden="1" x14ac:dyDescent="0.25">
      <c r="A96" s="131" t="s">
        <v>306</v>
      </c>
      <c r="B96" s="105">
        <v>38</v>
      </c>
      <c r="C96" s="145">
        <v>3433</v>
      </c>
      <c r="D96" s="146" t="s">
        <v>73</v>
      </c>
      <c r="E96" s="107">
        <v>1000</v>
      </c>
      <c r="F96" s="271">
        <v>1000</v>
      </c>
      <c r="G96" s="271"/>
      <c r="H96" s="271"/>
      <c r="I96" s="310">
        <f>AVERAGE(G96/F96*100)</f>
        <v>0</v>
      </c>
      <c r="J96" s="310"/>
    </row>
    <row r="97" spans="1:10" s="112" customFormat="1" ht="13.8" hidden="1" x14ac:dyDescent="0.25">
      <c r="A97" s="131" t="s">
        <v>306</v>
      </c>
      <c r="B97" s="105">
        <v>39</v>
      </c>
      <c r="C97" s="145">
        <v>3434</v>
      </c>
      <c r="D97" s="146" t="s">
        <v>74</v>
      </c>
      <c r="E97" s="107">
        <v>4000</v>
      </c>
      <c r="F97" s="271">
        <v>2000</v>
      </c>
      <c r="G97" s="271"/>
      <c r="H97" s="271"/>
      <c r="I97" s="310">
        <f>AVERAGE(G97/F97*100)</f>
        <v>0</v>
      </c>
      <c r="J97" s="310"/>
    </row>
    <row r="98" spans="1:10" s="154" customFormat="1" ht="16.8" x14ac:dyDescent="0.3">
      <c r="A98" s="151"/>
      <c r="B98" s="109"/>
      <c r="C98" s="152"/>
      <c r="D98" s="153"/>
      <c r="E98" s="111"/>
      <c r="F98" s="273"/>
      <c r="G98" s="273"/>
      <c r="H98" s="273"/>
      <c r="I98" s="232"/>
      <c r="J98" s="232"/>
    </row>
    <row r="99" spans="1:10" s="154" customFormat="1" ht="16.8" x14ac:dyDescent="0.3">
      <c r="A99" s="104"/>
      <c r="B99" s="104"/>
      <c r="C99" s="104"/>
      <c r="D99" s="155" t="s">
        <v>178</v>
      </c>
      <c r="E99" s="119"/>
      <c r="F99" s="275"/>
      <c r="G99" s="275"/>
      <c r="H99" s="304"/>
      <c r="I99" s="233"/>
      <c r="J99" s="233"/>
    </row>
    <row r="100" spans="1:10" s="97" customFormat="1" ht="15.6" x14ac:dyDescent="0.3">
      <c r="A100" s="104"/>
      <c r="B100" s="104"/>
      <c r="C100" s="104"/>
      <c r="D100" s="221" t="s">
        <v>195</v>
      </c>
      <c r="E100" s="121"/>
      <c r="F100" s="276"/>
      <c r="G100" s="276"/>
      <c r="H100" s="305"/>
      <c r="I100" s="234"/>
      <c r="J100" s="234"/>
    </row>
    <row r="101" spans="1:10" s="97" customFormat="1" ht="15.6" x14ac:dyDescent="0.3">
      <c r="A101" s="156"/>
      <c r="B101" s="156"/>
      <c r="C101" s="156"/>
      <c r="D101" s="250" t="s">
        <v>295</v>
      </c>
      <c r="E101" s="157">
        <f t="shared" ref="E101:H102" si="4">SUM(E102)</f>
        <v>72000</v>
      </c>
      <c r="F101" s="281">
        <f t="shared" si="4"/>
        <v>60000</v>
      </c>
      <c r="G101" s="281">
        <f t="shared" si="4"/>
        <v>50000</v>
      </c>
      <c r="H101" s="281">
        <f t="shared" si="4"/>
        <v>45000</v>
      </c>
      <c r="I101" s="311">
        <f>AVERAGE(G101/F101*100)</f>
        <v>83.333333333333343</v>
      </c>
      <c r="J101" s="311">
        <f>AVERAGE(H101/G101*100)</f>
        <v>90</v>
      </c>
    </row>
    <row r="102" spans="1:10" s="1" customFormat="1" x14ac:dyDescent="0.25">
      <c r="A102" s="105" t="s">
        <v>307</v>
      </c>
      <c r="B102" s="101"/>
      <c r="C102" s="143">
        <v>42</v>
      </c>
      <c r="D102" s="144" t="s">
        <v>96</v>
      </c>
      <c r="E102" s="103">
        <f t="shared" si="4"/>
        <v>72000</v>
      </c>
      <c r="F102" s="268">
        <f t="shared" si="4"/>
        <v>60000</v>
      </c>
      <c r="G102" s="268">
        <v>50000</v>
      </c>
      <c r="H102" s="268">
        <v>45000</v>
      </c>
      <c r="I102" s="310">
        <f t="shared" ref="I102:J107" si="5">AVERAGE(G102/F102*100)</f>
        <v>83.333333333333343</v>
      </c>
      <c r="J102" s="310">
        <f t="shared" si="5"/>
        <v>90</v>
      </c>
    </row>
    <row r="103" spans="1:10" s="1" customFormat="1" x14ac:dyDescent="0.25">
      <c r="A103" s="105" t="s">
        <v>307</v>
      </c>
      <c r="B103" s="101"/>
      <c r="C103" s="143">
        <v>422</v>
      </c>
      <c r="D103" s="144" t="s">
        <v>99</v>
      </c>
      <c r="E103" s="103">
        <f>SUM(E104:E107)</f>
        <v>72000</v>
      </c>
      <c r="F103" s="268">
        <f>SUM(F104:F107)</f>
        <v>60000</v>
      </c>
      <c r="G103" s="268"/>
      <c r="H103" s="268"/>
      <c r="I103" s="310">
        <f t="shared" si="5"/>
        <v>0</v>
      </c>
      <c r="J103" s="310"/>
    </row>
    <row r="104" spans="1:10" s="1" customFormat="1" hidden="1" x14ac:dyDescent="0.25">
      <c r="A104" s="105" t="s">
        <v>307</v>
      </c>
      <c r="B104" s="105">
        <v>40</v>
      </c>
      <c r="C104" s="145">
        <v>4221</v>
      </c>
      <c r="D104" s="146" t="s">
        <v>100</v>
      </c>
      <c r="E104" s="107">
        <v>20000</v>
      </c>
      <c r="F104" s="271">
        <v>20000</v>
      </c>
      <c r="G104" s="271"/>
      <c r="H104" s="271"/>
      <c r="I104" s="310">
        <f t="shared" si="5"/>
        <v>0</v>
      </c>
      <c r="J104" s="310"/>
    </row>
    <row r="105" spans="1:10" s="1" customFormat="1" hidden="1" x14ac:dyDescent="0.25">
      <c r="A105" s="105" t="s">
        <v>307</v>
      </c>
      <c r="B105" s="105">
        <v>41</v>
      </c>
      <c r="C105" s="145">
        <v>4222</v>
      </c>
      <c r="D105" s="146" t="s">
        <v>101</v>
      </c>
      <c r="E105" s="107">
        <v>5000</v>
      </c>
      <c r="F105" s="271">
        <v>5000</v>
      </c>
      <c r="G105" s="271"/>
      <c r="H105" s="271"/>
      <c r="I105" s="310">
        <f t="shared" si="5"/>
        <v>0</v>
      </c>
      <c r="J105" s="310"/>
    </row>
    <row r="106" spans="1:10" s="130" customFormat="1" ht="13.8" hidden="1" x14ac:dyDescent="0.25">
      <c r="A106" s="105" t="s">
        <v>307</v>
      </c>
      <c r="B106" s="105">
        <v>42</v>
      </c>
      <c r="C106" s="145">
        <v>4223</v>
      </c>
      <c r="D106" s="146" t="s">
        <v>112</v>
      </c>
      <c r="E106" s="107">
        <v>12000</v>
      </c>
      <c r="F106" s="271">
        <v>10000</v>
      </c>
      <c r="G106" s="271"/>
      <c r="H106" s="271"/>
      <c r="I106" s="310">
        <f t="shared" si="5"/>
        <v>0</v>
      </c>
      <c r="J106" s="310"/>
    </row>
    <row r="107" spans="1:10" s="112" customFormat="1" ht="13.8" hidden="1" x14ac:dyDescent="0.25">
      <c r="A107" s="105" t="s">
        <v>307</v>
      </c>
      <c r="B107" s="105">
        <v>43</v>
      </c>
      <c r="C107" s="145">
        <v>4227</v>
      </c>
      <c r="D107" s="146" t="s">
        <v>102</v>
      </c>
      <c r="E107" s="107">
        <v>35000</v>
      </c>
      <c r="F107" s="271">
        <v>25000</v>
      </c>
      <c r="G107" s="271"/>
      <c r="H107" s="271"/>
      <c r="I107" s="310">
        <f t="shared" si="5"/>
        <v>0</v>
      </c>
      <c r="J107" s="310"/>
    </row>
    <row r="108" spans="1:10" s="112" customFormat="1" ht="13.8" x14ac:dyDescent="0.25">
      <c r="C108" s="158"/>
      <c r="D108" s="159"/>
      <c r="E108" s="160"/>
      <c r="F108" s="282"/>
      <c r="G108" s="282"/>
      <c r="H108" s="282"/>
      <c r="I108" s="232"/>
      <c r="J108" s="232"/>
    </row>
    <row r="109" spans="1:10" s="112" customFormat="1" ht="13.8" x14ac:dyDescent="0.25">
      <c r="A109" s="104"/>
      <c r="B109" s="104"/>
      <c r="C109" s="104"/>
      <c r="D109" s="117" t="s">
        <v>178</v>
      </c>
      <c r="E109" s="119"/>
      <c r="F109" s="275"/>
      <c r="G109" s="265"/>
      <c r="H109" s="265"/>
      <c r="I109" s="229"/>
      <c r="J109" s="229"/>
    </row>
    <row r="110" spans="1:10" s="112" customFormat="1" ht="13.8" x14ac:dyDescent="0.25">
      <c r="A110" s="104"/>
      <c r="B110" s="104"/>
      <c r="C110" s="104"/>
      <c r="D110" s="220" t="s">
        <v>195</v>
      </c>
      <c r="E110" s="121"/>
      <c r="F110" s="276"/>
      <c r="G110" s="266"/>
      <c r="H110" s="266"/>
      <c r="I110" s="230"/>
      <c r="J110" s="230"/>
    </row>
    <row r="111" spans="1:10" s="1" customFormat="1" ht="13.8" x14ac:dyDescent="0.25">
      <c r="A111" s="156"/>
      <c r="B111" s="156"/>
      <c r="C111" s="156"/>
      <c r="D111" s="251" t="s">
        <v>296</v>
      </c>
      <c r="E111" s="157">
        <f t="shared" ref="E111:H113" si="6">SUM(E112)</f>
        <v>5000</v>
      </c>
      <c r="F111" s="281">
        <f t="shared" si="6"/>
        <v>5000</v>
      </c>
      <c r="G111" s="267">
        <f t="shared" si="6"/>
        <v>5000</v>
      </c>
      <c r="H111" s="267">
        <f t="shared" si="6"/>
        <v>5000</v>
      </c>
      <c r="I111" s="311">
        <f>AVERAGE(G111/F111*100)</f>
        <v>100</v>
      </c>
      <c r="J111" s="311">
        <f>AVERAGE(H111/G111*100)</f>
        <v>100</v>
      </c>
    </row>
    <row r="112" spans="1:10" s="1" customFormat="1" x14ac:dyDescent="0.25">
      <c r="A112" s="214" t="s">
        <v>308</v>
      </c>
      <c r="B112" s="101"/>
      <c r="C112" s="143">
        <v>42</v>
      </c>
      <c r="D112" s="144" t="s">
        <v>96</v>
      </c>
      <c r="E112" s="103">
        <f t="shared" si="6"/>
        <v>5000</v>
      </c>
      <c r="F112" s="268">
        <f t="shared" si="6"/>
        <v>5000</v>
      </c>
      <c r="G112" s="268">
        <v>5000</v>
      </c>
      <c r="H112" s="268">
        <v>5000</v>
      </c>
      <c r="I112" s="310">
        <f t="shared" ref="I112:J114" si="7">AVERAGE(G112/F112*100)</f>
        <v>100</v>
      </c>
      <c r="J112" s="310">
        <f t="shared" si="7"/>
        <v>100</v>
      </c>
    </row>
    <row r="113" spans="1:10" s="1" customFormat="1" x14ac:dyDescent="0.25">
      <c r="A113" s="214" t="s">
        <v>308</v>
      </c>
      <c r="B113" s="101"/>
      <c r="C113" s="143">
        <v>426</v>
      </c>
      <c r="D113" s="144" t="s">
        <v>117</v>
      </c>
      <c r="E113" s="103">
        <f t="shared" si="6"/>
        <v>5000</v>
      </c>
      <c r="F113" s="268">
        <f t="shared" si="6"/>
        <v>5000</v>
      </c>
      <c r="G113" s="268"/>
      <c r="H113" s="268"/>
      <c r="I113" s="310">
        <f t="shared" si="7"/>
        <v>0</v>
      </c>
      <c r="J113" s="310"/>
    </row>
    <row r="114" spans="1:10" s="1" customFormat="1" ht="15" hidden="1" customHeight="1" x14ac:dyDescent="0.25">
      <c r="A114" s="214" t="s">
        <v>308</v>
      </c>
      <c r="B114" s="105">
        <v>44</v>
      </c>
      <c r="C114" s="145">
        <v>4262</v>
      </c>
      <c r="D114" s="146" t="s">
        <v>196</v>
      </c>
      <c r="E114" s="107">
        <v>5000</v>
      </c>
      <c r="F114" s="271">
        <v>5000</v>
      </c>
      <c r="G114" s="271"/>
      <c r="H114" s="271"/>
      <c r="I114" s="310">
        <f t="shared" si="7"/>
        <v>0</v>
      </c>
      <c r="J114" s="310"/>
    </row>
    <row r="115" spans="1:10" s="1" customFormat="1" x14ac:dyDescent="0.25">
      <c r="A115" s="109"/>
      <c r="B115" s="109"/>
      <c r="C115" s="152"/>
      <c r="D115" s="153"/>
      <c r="E115" s="111"/>
      <c r="F115" s="273"/>
      <c r="G115" s="273"/>
      <c r="H115" s="273"/>
      <c r="I115" s="232"/>
      <c r="J115" s="232"/>
    </row>
    <row r="116" spans="1:10" s="163" customFormat="1" ht="13.8" x14ac:dyDescent="0.25">
      <c r="A116" s="75"/>
      <c r="B116" s="75"/>
      <c r="C116" s="75"/>
      <c r="D116" s="161" t="s">
        <v>178</v>
      </c>
      <c r="E116" s="162"/>
      <c r="F116" s="283"/>
      <c r="G116" s="283"/>
      <c r="H116" s="283"/>
      <c r="I116" s="229"/>
      <c r="J116" s="229"/>
    </row>
    <row r="117" spans="1:10" s="130" customFormat="1" ht="13.8" x14ac:dyDescent="0.25">
      <c r="A117" s="75"/>
      <c r="B117" s="75"/>
      <c r="C117" s="75"/>
      <c r="D117" s="219" t="s">
        <v>197</v>
      </c>
      <c r="E117" s="98"/>
      <c r="F117" s="266"/>
      <c r="G117" s="266"/>
      <c r="H117" s="266"/>
      <c r="I117" s="230"/>
      <c r="J117" s="230"/>
    </row>
    <row r="118" spans="1:10" s="112" customFormat="1" ht="13.8" x14ac:dyDescent="0.25">
      <c r="A118" s="165"/>
      <c r="B118" s="165"/>
      <c r="C118" s="165"/>
      <c r="D118" s="247" t="s">
        <v>297</v>
      </c>
      <c r="E118" s="100">
        <f t="shared" ref="E118:H120" si="8">SUM(E119)</f>
        <v>0</v>
      </c>
      <c r="F118" s="267">
        <f t="shared" si="8"/>
        <v>30000</v>
      </c>
      <c r="G118" s="267">
        <f t="shared" si="8"/>
        <v>30000</v>
      </c>
      <c r="H118" s="267">
        <f t="shared" si="8"/>
        <v>30000</v>
      </c>
      <c r="I118" s="311">
        <f>AVERAGE(G118/F118*100)</f>
        <v>100</v>
      </c>
      <c r="J118" s="311">
        <f>AVERAGE(H118/G118*100)</f>
        <v>100</v>
      </c>
    </row>
    <row r="119" spans="1:10" s="130" customFormat="1" ht="13.8" x14ac:dyDescent="0.25">
      <c r="A119" s="214" t="s">
        <v>309</v>
      </c>
      <c r="B119" s="101"/>
      <c r="C119" s="143">
        <v>32</v>
      </c>
      <c r="D119" s="144" t="s">
        <v>47</v>
      </c>
      <c r="E119" s="103">
        <f t="shared" si="8"/>
        <v>0</v>
      </c>
      <c r="F119" s="268">
        <f t="shared" si="8"/>
        <v>30000</v>
      </c>
      <c r="G119" s="268">
        <v>30000</v>
      </c>
      <c r="H119" s="268">
        <v>30000</v>
      </c>
      <c r="I119" s="310">
        <f t="shared" ref="I119:J121" si="9">AVERAGE(G119/F119*100)</f>
        <v>100</v>
      </c>
      <c r="J119" s="310">
        <f t="shared" si="9"/>
        <v>100</v>
      </c>
    </row>
    <row r="120" spans="1:10" s="112" customFormat="1" ht="13.8" x14ac:dyDescent="0.25">
      <c r="A120" s="214" t="s">
        <v>309</v>
      </c>
      <c r="B120" s="101"/>
      <c r="C120" s="143">
        <v>323</v>
      </c>
      <c r="D120" s="144" t="s">
        <v>56</v>
      </c>
      <c r="E120" s="103">
        <f t="shared" si="8"/>
        <v>0</v>
      </c>
      <c r="F120" s="268">
        <f t="shared" si="8"/>
        <v>30000</v>
      </c>
      <c r="G120" s="268"/>
      <c r="H120" s="268"/>
      <c r="I120" s="310">
        <f t="shared" si="9"/>
        <v>0</v>
      </c>
      <c r="J120" s="310"/>
    </row>
    <row r="121" spans="1:10" s="130" customFormat="1" ht="13.8" hidden="1" x14ac:dyDescent="0.25">
      <c r="A121" s="214" t="s">
        <v>309</v>
      </c>
      <c r="B121" s="105">
        <v>45</v>
      </c>
      <c r="C121" s="145">
        <v>3237</v>
      </c>
      <c r="D121" s="146" t="s">
        <v>62</v>
      </c>
      <c r="E121" s="107">
        <v>0</v>
      </c>
      <c r="F121" s="271">
        <v>30000</v>
      </c>
      <c r="G121" s="271"/>
      <c r="H121" s="271"/>
      <c r="I121" s="310">
        <f t="shared" si="9"/>
        <v>0</v>
      </c>
      <c r="J121" s="310"/>
    </row>
    <row r="122" spans="1:10" s="130" customFormat="1" ht="13.8" x14ac:dyDescent="0.25">
      <c r="A122" s="166"/>
      <c r="B122" s="85"/>
      <c r="C122" s="166"/>
      <c r="D122" s="85"/>
      <c r="E122" s="166"/>
      <c r="F122" s="284"/>
      <c r="G122" s="284"/>
      <c r="H122" s="284"/>
      <c r="I122" s="235"/>
      <c r="J122" s="235"/>
    </row>
    <row r="123" spans="1:10" s="112" customFormat="1" ht="13.8" x14ac:dyDescent="0.25">
      <c r="A123" s="104"/>
      <c r="B123" s="104"/>
      <c r="C123" s="104"/>
      <c r="D123" s="161" t="s">
        <v>178</v>
      </c>
      <c r="E123" s="96"/>
      <c r="F123" s="265"/>
      <c r="G123" s="265"/>
      <c r="H123" s="265"/>
      <c r="I123" s="229"/>
      <c r="J123" s="229"/>
    </row>
    <row r="124" spans="1:10" s="112" customFormat="1" ht="13.8" x14ac:dyDescent="0.25">
      <c r="A124" s="104"/>
      <c r="B124" s="104"/>
      <c r="C124" s="104"/>
      <c r="D124" s="219" t="s">
        <v>195</v>
      </c>
      <c r="E124" s="98"/>
      <c r="F124" s="266"/>
      <c r="G124" s="266"/>
      <c r="H124" s="266"/>
      <c r="I124" s="230"/>
      <c r="J124" s="230"/>
    </row>
    <row r="125" spans="1:10" ht="13.8" x14ac:dyDescent="0.25">
      <c r="A125" s="156"/>
      <c r="B125" s="156"/>
      <c r="C125" s="156"/>
      <c r="D125" s="247" t="s">
        <v>298</v>
      </c>
      <c r="E125" s="167">
        <f>SUM(E126+E129)</f>
        <v>10000</v>
      </c>
      <c r="F125" s="260">
        <f>SUM(F126+F129)</f>
        <v>10000</v>
      </c>
      <c r="G125" s="260">
        <f>SUM(G126+G129)</f>
        <v>10000</v>
      </c>
      <c r="H125" s="260">
        <f>SUM(H126+H129)</f>
        <v>10000</v>
      </c>
      <c r="I125" s="311">
        <f>AVERAGE(G125/F125*100)</f>
        <v>100</v>
      </c>
      <c r="J125" s="311">
        <f>AVERAGE(H125/G125*100)</f>
        <v>100</v>
      </c>
    </row>
    <row r="126" spans="1:10" x14ac:dyDescent="0.25">
      <c r="A126" s="214" t="s">
        <v>310</v>
      </c>
      <c r="B126" s="101"/>
      <c r="C126" s="143">
        <v>32</v>
      </c>
      <c r="D126" s="144" t="s">
        <v>47</v>
      </c>
      <c r="E126" s="103">
        <f>SUM(E127)</f>
        <v>0</v>
      </c>
      <c r="F126" s="268">
        <f t="shared" ref="F126:H127" si="10">SUM(F127)</f>
        <v>0</v>
      </c>
      <c r="G126" s="268">
        <f t="shared" si="10"/>
        <v>0</v>
      </c>
      <c r="H126" s="268">
        <f t="shared" si="10"/>
        <v>0</v>
      </c>
      <c r="I126" s="310">
        <v>0</v>
      </c>
      <c r="J126" s="310"/>
    </row>
    <row r="127" spans="1:10" x14ac:dyDescent="0.25">
      <c r="A127" s="214" t="s">
        <v>310</v>
      </c>
      <c r="B127" s="101"/>
      <c r="C127" s="143">
        <v>329</v>
      </c>
      <c r="D127" s="144" t="s">
        <v>65</v>
      </c>
      <c r="E127" s="103">
        <f>SUM(E128)</f>
        <v>0</v>
      </c>
      <c r="F127" s="268">
        <f t="shared" si="10"/>
        <v>0</v>
      </c>
      <c r="G127" s="268"/>
      <c r="H127" s="268"/>
      <c r="I127" s="310">
        <v>0</v>
      </c>
      <c r="J127" s="310"/>
    </row>
    <row r="128" spans="1:10" ht="14.25" hidden="1" customHeight="1" x14ac:dyDescent="0.25">
      <c r="A128" s="214" t="s">
        <v>310</v>
      </c>
      <c r="B128" s="105">
        <v>46</v>
      </c>
      <c r="C128" s="145">
        <v>3299</v>
      </c>
      <c r="D128" s="146" t="s">
        <v>65</v>
      </c>
      <c r="E128" s="107">
        <v>0</v>
      </c>
      <c r="F128" s="271">
        <v>0</v>
      </c>
      <c r="G128" s="271"/>
      <c r="H128" s="271"/>
      <c r="I128" s="310">
        <v>0</v>
      </c>
      <c r="J128" s="310"/>
    </row>
    <row r="129" spans="1:10" s="168" customFormat="1" x14ac:dyDescent="0.25">
      <c r="A129" s="214" t="s">
        <v>310</v>
      </c>
      <c r="B129" s="105"/>
      <c r="C129" s="102">
        <v>38</v>
      </c>
      <c r="D129" s="101" t="s">
        <v>198</v>
      </c>
      <c r="E129" s="103">
        <f>SUM(E130)</f>
        <v>10000</v>
      </c>
      <c r="F129" s="268">
        <f>SUM(F130)</f>
        <v>10000</v>
      </c>
      <c r="G129" s="268">
        <v>10000</v>
      </c>
      <c r="H129" s="268">
        <v>10000</v>
      </c>
      <c r="I129" s="310">
        <f>AVERAGE(G129/F129*100)</f>
        <v>100</v>
      </c>
      <c r="J129" s="310">
        <f>AVERAGE(H129/G129*100)</f>
        <v>100</v>
      </c>
    </row>
    <row r="130" spans="1:10" s="112" customFormat="1" ht="13.8" x14ac:dyDescent="0.25">
      <c r="A130" s="214" t="s">
        <v>310</v>
      </c>
      <c r="B130" s="105"/>
      <c r="C130" s="102">
        <v>383</v>
      </c>
      <c r="D130" s="101" t="s">
        <v>199</v>
      </c>
      <c r="E130" s="103">
        <f>SUM(E131)</f>
        <v>10000</v>
      </c>
      <c r="F130" s="268">
        <f>SUM(F131)</f>
        <v>10000</v>
      </c>
      <c r="G130" s="268"/>
      <c r="H130" s="268"/>
      <c r="I130" s="310">
        <f>AVERAGE(G130/F130*100)</f>
        <v>0</v>
      </c>
      <c r="J130" s="310"/>
    </row>
    <row r="131" spans="1:10" s="112" customFormat="1" ht="13.8" hidden="1" x14ac:dyDescent="0.25">
      <c r="A131" s="214" t="s">
        <v>310</v>
      </c>
      <c r="B131" s="105">
        <v>47</v>
      </c>
      <c r="C131" s="106">
        <v>3831</v>
      </c>
      <c r="D131" s="105" t="s">
        <v>200</v>
      </c>
      <c r="E131" s="107">
        <v>10000</v>
      </c>
      <c r="F131" s="271">
        <v>10000</v>
      </c>
      <c r="G131" s="271"/>
      <c r="H131" s="271"/>
      <c r="I131" s="310">
        <f>AVERAGE(G131/F131*100)</f>
        <v>0</v>
      </c>
      <c r="J131" s="310"/>
    </row>
    <row r="132" spans="1:10" s="170" customFormat="1" ht="13.8" thickBot="1" x14ac:dyDescent="0.3">
      <c r="A132" s="166"/>
      <c r="B132" s="85"/>
      <c r="C132" s="166"/>
      <c r="D132" s="85"/>
      <c r="E132" s="166"/>
      <c r="F132" s="284"/>
      <c r="G132" s="284"/>
      <c r="H132" s="284"/>
      <c r="I132" s="235"/>
      <c r="J132" s="235"/>
    </row>
    <row r="133" spans="1:10" s="154" customFormat="1" ht="17.399999999999999" thickBot="1" x14ac:dyDescent="0.35">
      <c r="A133" s="813" t="s">
        <v>201</v>
      </c>
      <c r="B133" s="814"/>
      <c r="C133" s="814"/>
      <c r="D133" s="815"/>
      <c r="E133" s="88">
        <f>SUM(E135+E144+E167)</f>
        <v>0</v>
      </c>
      <c r="F133" s="274">
        <f>SUM(F135+F144+F167)</f>
        <v>236000</v>
      </c>
      <c r="G133" s="274">
        <f>SUM(G135+G144+G167)</f>
        <v>245500</v>
      </c>
      <c r="H133" s="274">
        <f>SUM(H135+H144+H167)</f>
        <v>246000</v>
      </c>
      <c r="I133" s="226">
        <f>AVERAGE(G133/F133*100)</f>
        <v>104.02542372881356</v>
      </c>
      <c r="J133" s="226">
        <f>AVERAGE(H133/G133*100)</f>
        <v>100.20366598778003</v>
      </c>
    </row>
    <row r="134" spans="1:10" s="173" customFormat="1" ht="17.399999999999999" thickBot="1" x14ac:dyDescent="0.35">
      <c r="A134" s="171"/>
      <c r="B134" s="171"/>
      <c r="C134" s="171"/>
      <c r="D134" s="171"/>
      <c r="E134" s="172"/>
      <c r="F134" s="285"/>
      <c r="G134" s="285"/>
      <c r="H134" s="285"/>
      <c r="I134" s="227"/>
      <c r="J134" s="227"/>
    </row>
    <row r="135" spans="1:10" s="92" customFormat="1" ht="16.2" thickBot="1" x14ac:dyDescent="0.35">
      <c r="A135" s="807" t="s">
        <v>202</v>
      </c>
      <c r="B135" s="808"/>
      <c r="C135" s="808"/>
      <c r="D135" s="809"/>
      <c r="E135" s="91">
        <f>SUM(E139)</f>
        <v>0</v>
      </c>
      <c r="F135" s="263">
        <f>SUM(F139)</f>
        <v>15000</v>
      </c>
      <c r="G135" s="263">
        <f>SUM(G139)</f>
        <v>15000</v>
      </c>
      <c r="H135" s="263">
        <f>SUM(H139)</f>
        <v>15000</v>
      </c>
      <c r="I135" s="228">
        <f>AVERAGE(G135/F135*100)</f>
        <v>100</v>
      </c>
      <c r="J135" s="228">
        <f>AVERAGE(H135/G135*100)</f>
        <v>100</v>
      </c>
    </row>
    <row r="136" spans="1:10" s="92" customFormat="1" ht="15.6" x14ac:dyDescent="0.3">
      <c r="A136" s="174"/>
      <c r="B136" s="174"/>
      <c r="C136" s="174"/>
      <c r="D136" s="174"/>
      <c r="E136" s="175"/>
      <c r="F136" s="286"/>
      <c r="G136" s="286"/>
      <c r="H136" s="286"/>
      <c r="I136" s="236"/>
      <c r="J136" s="236"/>
    </row>
    <row r="137" spans="1:10" s="1" customFormat="1" ht="15" customHeight="1" x14ac:dyDescent="0.25">
      <c r="A137" s="104"/>
      <c r="B137" s="104"/>
      <c r="C137" s="104"/>
      <c r="D137" s="161" t="s">
        <v>203</v>
      </c>
      <c r="E137" s="176"/>
      <c r="F137" s="287"/>
      <c r="G137" s="287"/>
      <c r="H137" s="287"/>
      <c r="I137" s="176"/>
      <c r="J137" s="176"/>
    </row>
    <row r="138" spans="1:10" s="1" customFormat="1" ht="13.8" x14ac:dyDescent="0.25">
      <c r="A138" s="104"/>
      <c r="B138" s="104"/>
      <c r="C138" s="104"/>
      <c r="D138" s="219" t="s">
        <v>204</v>
      </c>
      <c r="E138" s="98"/>
      <c r="F138" s="266"/>
      <c r="G138" s="266"/>
      <c r="H138" s="266"/>
      <c r="I138" s="230"/>
      <c r="J138" s="230"/>
    </row>
    <row r="139" spans="1:10" s="1" customFormat="1" ht="13.8" x14ac:dyDescent="0.25">
      <c r="A139" s="104"/>
      <c r="B139" s="104"/>
      <c r="C139" s="104"/>
      <c r="D139" s="247" t="s">
        <v>299</v>
      </c>
      <c r="E139" s="177">
        <f t="shared" ref="E139:H141" si="11">SUM(E140)</f>
        <v>0</v>
      </c>
      <c r="F139" s="260">
        <f t="shared" si="11"/>
        <v>15000</v>
      </c>
      <c r="G139" s="260">
        <f t="shared" si="11"/>
        <v>15000</v>
      </c>
      <c r="H139" s="260">
        <f t="shared" si="11"/>
        <v>15000</v>
      </c>
      <c r="I139" s="311">
        <f>AVERAGE(G139/F139*100)</f>
        <v>100</v>
      </c>
      <c r="J139" s="311">
        <f>AVERAGE(H139/G139*100)</f>
        <v>100</v>
      </c>
    </row>
    <row r="140" spans="1:10" s="130" customFormat="1" ht="13.8" x14ac:dyDescent="0.25">
      <c r="A140" s="105" t="s">
        <v>292</v>
      </c>
      <c r="B140" s="101"/>
      <c r="C140" s="143">
        <v>32</v>
      </c>
      <c r="D140" s="101" t="s">
        <v>180</v>
      </c>
      <c r="E140" s="103">
        <f t="shared" si="11"/>
        <v>0</v>
      </c>
      <c r="F140" s="268">
        <f t="shared" si="11"/>
        <v>15000</v>
      </c>
      <c r="G140" s="268">
        <v>15000</v>
      </c>
      <c r="H140" s="268">
        <v>15000</v>
      </c>
      <c r="I140" s="310">
        <f t="shared" ref="I140:J142" si="12">AVERAGE(G140/F140*100)</f>
        <v>100</v>
      </c>
      <c r="J140" s="310">
        <f t="shared" si="12"/>
        <v>100</v>
      </c>
    </row>
    <row r="141" spans="1:10" s="130" customFormat="1" ht="13.8" x14ac:dyDescent="0.25">
      <c r="A141" s="105" t="s">
        <v>292</v>
      </c>
      <c r="B141" s="101"/>
      <c r="C141" s="102">
        <v>323</v>
      </c>
      <c r="D141" s="101" t="s">
        <v>56</v>
      </c>
      <c r="E141" s="103">
        <f t="shared" si="11"/>
        <v>0</v>
      </c>
      <c r="F141" s="268">
        <f t="shared" si="11"/>
        <v>15000</v>
      </c>
      <c r="G141" s="268"/>
      <c r="H141" s="268"/>
      <c r="I141" s="310">
        <f t="shared" si="12"/>
        <v>0</v>
      </c>
      <c r="J141" s="310"/>
    </row>
    <row r="142" spans="1:10" s="112" customFormat="1" ht="13.8" hidden="1" x14ac:dyDescent="0.25">
      <c r="A142" s="105" t="s">
        <v>292</v>
      </c>
      <c r="B142" s="105">
        <v>48</v>
      </c>
      <c r="C142" s="106">
        <v>3237</v>
      </c>
      <c r="D142" s="105" t="s">
        <v>62</v>
      </c>
      <c r="E142" s="107">
        <v>0</v>
      </c>
      <c r="F142" s="271">
        <v>15000</v>
      </c>
      <c r="G142" s="271"/>
      <c r="H142" s="271"/>
      <c r="I142" s="310">
        <f t="shared" si="12"/>
        <v>0</v>
      </c>
      <c r="J142" s="310"/>
    </row>
    <row r="143" spans="1:10" s="112" customFormat="1" ht="14.4" thickBot="1" x14ac:dyDescent="0.3">
      <c r="A143" s="109"/>
      <c r="B143" s="109"/>
      <c r="C143" s="110"/>
      <c r="D143" s="109"/>
      <c r="E143" s="111"/>
      <c r="F143" s="273"/>
      <c r="G143" s="273"/>
      <c r="H143" s="273"/>
      <c r="I143" s="232"/>
      <c r="J143" s="232"/>
    </row>
    <row r="144" spans="1:10" s="1" customFormat="1" ht="15.75" customHeight="1" thickBot="1" x14ac:dyDescent="0.35">
      <c r="A144" s="807" t="s">
        <v>205</v>
      </c>
      <c r="B144" s="808"/>
      <c r="C144" s="808"/>
      <c r="D144" s="809"/>
      <c r="E144" s="91">
        <f>SUM(E148+E155+E162)</f>
        <v>0</v>
      </c>
      <c r="F144" s="263">
        <f>SUM(F148+F155+F162)</f>
        <v>30000</v>
      </c>
      <c r="G144" s="263">
        <f>SUM(G148+G155+G162)</f>
        <v>30500</v>
      </c>
      <c r="H144" s="263">
        <f>SUM(H148+H155+H162)</f>
        <v>31000</v>
      </c>
      <c r="I144" s="228">
        <f>AVERAGE(G144/F144*100)</f>
        <v>101.66666666666666</v>
      </c>
      <c r="J144" s="228">
        <f>AVERAGE(H144/G144*100)</f>
        <v>101.63934426229508</v>
      </c>
    </row>
    <row r="145" spans="1:10" s="1" customFormat="1" ht="15.75" customHeight="1" x14ac:dyDescent="0.25">
      <c r="A145" s="174"/>
      <c r="B145" s="174"/>
      <c r="C145" s="174"/>
      <c r="D145" s="174"/>
      <c r="E145" s="175"/>
      <c r="F145" s="286"/>
      <c r="G145" s="286"/>
      <c r="H145" s="286"/>
      <c r="I145" s="227"/>
      <c r="J145" s="227"/>
    </row>
    <row r="146" spans="1:10" s="1" customFormat="1" ht="12.75" customHeight="1" x14ac:dyDescent="0.25">
      <c r="A146" s="104"/>
      <c r="B146" s="104"/>
      <c r="C146" s="104"/>
      <c r="D146" s="161" t="s">
        <v>203</v>
      </c>
      <c r="E146" s="96"/>
      <c r="F146" s="265"/>
      <c r="G146" s="265"/>
      <c r="H146" s="265"/>
      <c r="I146" s="229"/>
      <c r="J146" s="229"/>
    </row>
    <row r="147" spans="1:10" s="1" customFormat="1" ht="12.75" customHeight="1" x14ac:dyDescent="0.25">
      <c r="A147" s="104"/>
      <c r="B147" s="104"/>
      <c r="C147" s="104"/>
      <c r="D147" s="219" t="s">
        <v>197</v>
      </c>
      <c r="E147" s="98"/>
      <c r="F147" s="266"/>
      <c r="G147" s="266"/>
      <c r="H147" s="266"/>
      <c r="I147" s="230"/>
      <c r="J147" s="230"/>
    </row>
    <row r="148" spans="1:10" s="1" customFormat="1" ht="15.75" customHeight="1" x14ac:dyDescent="0.25">
      <c r="A148" s="104"/>
      <c r="B148" s="104"/>
      <c r="C148" s="104"/>
      <c r="D148" s="247" t="s">
        <v>300</v>
      </c>
      <c r="E148" s="177">
        <f t="shared" ref="E148:H149" si="13">SUM(E149)</f>
        <v>0</v>
      </c>
      <c r="F148" s="260">
        <f t="shared" si="13"/>
        <v>2000</v>
      </c>
      <c r="G148" s="260">
        <f t="shared" si="13"/>
        <v>1500</v>
      </c>
      <c r="H148" s="260">
        <f t="shared" si="13"/>
        <v>1000</v>
      </c>
      <c r="I148" s="311">
        <f>AVERAGE(G148/F148*100)</f>
        <v>75</v>
      </c>
      <c r="J148" s="311">
        <f>AVERAGE(H148/G148*100)</f>
        <v>66.666666666666657</v>
      </c>
    </row>
    <row r="149" spans="1:10" s="130" customFormat="1" ht="13.8" x14ac:dyDescent="0.25">
      <c r="A149" s="105" t="s">
        <v>293</v>
      </c>
      <c r="B149" s="101"/>
      <c r="C149" s="102">
        <v>38</v>
      </c>
      <c r="D149" s="101" t="s">
        <v>198</v>
      </c>
      <c r="E149" s="103">
        <f t="shared" si="13"/>
        <v>0</v>
      </c>
      <c r="F149" s="268">
        <f t="shared" si="13"/>
        <v>2000</v>
      </c>
      <c r="G149" s="268">
        <v>1500</v>
      </c>
      <c r="H149" s="268">
        <v>1000</v>
      </c>
      <c r="I149" s="310">
        <f t="shared" ref="I149:J151" si="14">AVERAGE(G149/F149*100)</f>
        <v>75</v>
      </c>
      <c r="J149" s="310">
        <f t="shared" si="14"/>
        <v>66.666666666666657</v>
      </c>
    </row>
    <row r="150" spans="1:10" s="130" customFormat="1" ht="13.8" x14ac:dyDescent="0.25">
      <c r="A150" s="105" t="s">
        <v>293</v>
      </c>
      <c r="B150" s="101"/>
      <c r="C150" s="102">
        <v>381</v>
      </c>
      <c r="D150" s="101" t="s">
        <v>37</v>
      </c>
      <c r="E150" s="103">
        <f>SUM(E151)</f>
        <v>0</v>
      </c>
      <c r="F150" s="268">
        <f>SUM(F151)</f>
        <v>2000</v>
      </c>
      <c r="G150" s="268"/>
      <c r="H150" s="268"/>
      <c r="I150" s="310">
        <f t="shared" si="14"/>
        <v>0</v>
      </c>
      <c r="J150" s="310"/>
    </row>
    <row r="151" spans="1:10" s="112" customFormat="1" ht="13.8" hidden="1" x14ac:dyDescent="0.25">
      <c r="A151" s="105" t="s">
        <v>293</v>
      </c>
      <c r="B151" s="105">
        <v>49</v>
      </c>
      <c r="C151" s="106">
        <v>38129</v>
      </c>
      <c r="D151" s="105" t="s">
        <v>206</v>
      </c>
      <c r="E151" s="107">
        <v>0</v>
      </c>
      <c r="F151" s="271">
        <v>2000</v>
      </c>
      <c r="G151" s="271"/>
      <c r="H151" s="271"/>
      <c r="I151" s="310">
        <f t="shared" si="14"/>
        <v>0</v>
      </c>
      <c r="J151" s="310"/>
    </row>
    <row r="152" spans="1:10" s="112" customFormat="1" ht="13.8" x14ac:dyDescent="0.25">
      <c r="A152" s="109"/>
      <c r="B152" s="109"/>
      <c r="C152" s="110"/>
      <c r="D152" s="109"/>
      <c r="E152" s="111"/>
      <c r="F152" s="273"/>
      <c r="G152" s="273"/>
      <c r="H152" s="273"/>
      <c r="I152" s="232"/>
      <c r="J152" s="232"/>
    </row>
    <row r="153" spans="1:10" s="1" customFormat="1" ht="12.75" customHeight="1" x14ac:dyDescent="0.25">
      <c r="A153" s="104"/>
      <c r="B153" s="104"/>
      <c r="C153" s="104"/>
      <c r="D153" s="161" t="s">
        <v>203</v>
      </c>
      <c r="E153" s="96"/>
      <c r="F153" s="265"/>
      <c r="G153" s="265"/>
      <c r="H153" s="265"/>
      <c r="I153" s="229"/>
      <c r="J153" s="229"/>
    </row>
    <row r="154" spans="1:10" s="1" customFormat="1" ht="12.75" customHeight="1" x14ac:dyDescent="0.25">
      <c r="A154" s="104"/>
      <c r="B154" s="104"/>
      <c r="C154" s="104"/>
      <c r="D154" s="219" t="s">
        <v>197</v>
      </c>
      <c r="E154" s="98"/>
      <c r="F154" s="266"/>
      <c r="G154" s="266"/>
      <c r="H154" s="266"/>
      <c r="I154" s="230"/>
      <c r="J154" s="230"/>
    </row>
    <row r="155" spans="1:10" s="1" customFormat="1" ht="15.75" customHeight="1" x14ac:dyDescent="0.25">
      <c r="A155" s="104"/>
      <c r="B155" s="104"/>
      <c r="C155" s="104"/>
      <c r="D155" s="247" t="s">
        <v>301</v>
      </c>
      <c r="E155" s="177">
        <f>SUM(E156)</f>
        <v>0</v>
      </c>
      <c r="F155" s="260">
        <f t="shared" ref="F155:H157" si="15">SUM(F156)</f>
        <v>25000</v>
      </c>
      <c r="G155" s="260">
        <f t="shared" si="15"/>
        <v>25000</v>
      </c>
      <c r="H155" s="260">
        <f t="shared" si="15"/>
        <v>25000</v>
      </c>
      <c r="I155" s="311">
        <f>AVERAGE(G155/F155*100)</f>
        <v>100</v>
      </c>
      <c r="J155" s="311">
        <f>AVERAGE(H155/G155*100)</f>
        <v>100</v>
      </c>
    </row>
    <row r="156" spans="1:10" s="130" customFormat="1" ht="13.8" x14ac:dyDescent="0.25">
      <c r="A156" s="105" t="s">
        <v>311</v>
      </c>
      <c r="B156" s="101"/>
      <c r="C156" s="102">
        <v>37</v>
      </c>
      <c r="D156" s="101" t="s">
        <v>275</v>
      </c>
      <c r="E156" s="103">
        <f>SUM(E157)</f>
        <v>0</v>
      </c>
      <c r="F156" s="268">
        <f t="shared" si="15"/>
        <v>25000</v>
      </c>
      <c r="G156" s="268">
        <v>25000</v>
      </c>
      <c r="H156" s="268">
        <v>25000</v>
      </c>
      <c r="I156" s="310">
        <f t="shared" ref="I156:J158" si="16">AVERAGE(G156/F156*100)</f>
        <v>100</v>
      </c>
      <c r="J156" s="310">
        <f t="shared" si="16"/>
        <v>100</v>
      </c>
    </row>
    <row r="157" spans="1:10" s="130" customFormat="1" ht="13.8" x14ac:dyDescent="0.25">
      <c r="A157" s="105" t="s">
        <v>311</v>
      </c>
      <c r="B157" s="101"/>
      <c r="C157" s="102">
        <v>372</v>
      </c>
      <c r="D157" s="101" t="s">
        <v>276</v>
      </c>
      <c r="E157" s="103">
        <f>SUM(E158)</f>
        <v>0</v>
      </c>
      <c r="F157" s="268">
        <f t="shared" si="15"/>
        <v>25000</v>
      </c>
      <c r="G157" s="268"/>
      <c r="H157" s="268"/>
      <c r="I157" s="310">
        <f t="shared" si="16"/>
        <v>0</v>
      </c>
      <c r="J157" s="310"/>
    </row>
    <row r="158" spans="1:10" s="112" customFormat="1" ht="13.8" hidden="1" x14ac:dyDescent="0.25">
      <c r="A158" s="105" t="s">
        <v>311</v>
      </c>
      <c r="B158" s="105">
        <v>50</v>
      </c>
      <c r="C158" s="106">
        <v>3721</v>
      </c>
      <c r="D158" s="105" t="s">
        <v>275</v>
      </c>
      <c r="E158" s="107">
        <v>0</v>
      </c>
      <c r="F158" s="271">
        <v>25000</v>
      </c>
      <c r="G158" s="271"/>
      <c r="H158" s="271"/>
      <c r="I158" s="310">
        <f t="shared" si="16"/>
        <v>0</v>
      </c>
      <c r="J158" s="310"/>
    </row>
    <row r="159" spans="1:10" s="112" customFormat="1" ht="13.8" x14ac:dyDescent="0.25">
      <c r="A159" s="109"/>
      <c r="B159" s="109"/>
      <c r="C159" s="110"/>
      <c r="D159" s="109"/>
      <c r="E159" s="111"/>
      <c r="F159" s="273"/>
      <c r="G159" s="273"/>
      <c r="H159" s="273"/>
      <c r="I159" s="232"/>
      <c r="J159" s="232"/>
    </row>
    <row r="160" spans="1:10" s="1" customFormat="1" ht="12.75" customHeight="1" x14ac:dyDescent="0.25">
      <c r="A160" s="104"/>
      <c r="B160" s="104"/>
      <c r="C160" s="104"/>
      <c r="D160" s="161" t="s">
        <v>203</v>
      </c>
      <c r="E160" s="96"/>
      <c r="F160" s="265"/>
      <c r="G160" s="265"/>
      <c r="H160" s="265"/>
      <c r="I160" s="229"/>
      <c r="J160" s="229"/>
    </row>
    <row r="161" spans="1:10" s="1" customFormat="1" ht="12.75" customHeight="1" x14ac:dyDescent="0.25">
      <c r="A161" s="104"/>
      <c r="B161" s="104"/>
      <c r="C161" s="104"/>
      <c r="D161" s="219" t="s">
        <v>197</v>
      </c>
      <c r="E161" s="98"/>
      <c r="F161" s="266"/>
      <c r="G161" s="266"/>
      <c r="H161" s="266"/>
      <c r="I161" s="230"/>
      <c r="J161" s="230"/>
    </row>
    <row r="162" spans="1:10" s="1" customFormat="1" ht="15.75" customHeight="1" x14ac:dyDescent="0.25">
      <c r="A162" s="104"/>
      <c r="B162" s="104"/>
      <c r="C162" s="104"/>
      <c r="D162" s="247" t="s">
        <v>302</v>
      </c>
      <c r="E162" s="177">
        <f t="shared" ref="E162:H164" si="17">SUM(E163)</f>
        <v>0</v>
      </c>
      <c r="F162" s="260">
        <f t="shared" si="17"/>
        <v>3000</v>
      </c>
      <c r="G162" s="260">
        <f t="shared" si="17"/>
        <v>4000</v>
      </c>
      <c r="H162" s="260">
        <f t="shared" si="17"/>
        <v>5000</v>
      </c>
      <c r="I162" s="311">
        <f>AVERAGE(G162/F162*100)</f>
        <v>133.33333333333331</v>
      </c>
      <c r="J162" s="311">
        <f>AVERAGE(H162/G162*100)</f>
        <v>125</v>
      </c>
    </row>
    <row r="163" spans="1:10" s="130" customFormat="1" ht="13.8" x14ac:dyDescent="0.25">
      <c r="A163" s="105" t="s">
        <v>312</v>
      </c>
      <c r="B163" s="101"/>
      <c r="C163" s="102">
        <v>37</v>
      </c>
      <c r="D163" s="101" t="s">
        <v>275</v>
      </c>
      <c r="E163" s="103">
        <f t="shared" si="17"/>
        <v>0</v>
      </c>
      <c r="F163" s="268">
        <f t="shared" si="17"/>
        <v>3000</v>
      </c>
      <c r="G163" s="268">
        <v>4000</v>
      </c>
      <c r="H163" s="268">
        <v>5000</v>
      </c>
      <c r="I163" s="310">
        <f t="shared" ref="I163:J165" si="18">AVERAGE(G163/F163*100)</f>
        <v>133.33333333333331</v>
      </c>
      <c r="J163" s="310">
        <f t="shared" si="18"/>
        <v>125</v>
      </c>
    </row>
    <row r="164" spans="1:10" s="130" customFormat="1" ht="13.8" x14ac:dyDescent="0.25">
      <c r="A164" s="105" t="s">
        <v>312</v>
      </c>
      <c r="B164" s="101"/>
      <c r="C164" s="102">
        <v>372</v>
      </c>
      <c r="D164" s="101" t="s">
        <v>276</v>
      </c>
      <c r="E164" s="103">
        <f>SUM(E165)</f>
        <v>0</v>
      </c>
      <c r="F164" s="268">
        <f t="shared" si="17"/>
        <v>3000</v>
      </c>
      <c r="G164" s="268"/>
      <c r="H164" s="268"/>
      <c r="I164" s="310">
        <f t="shared" si="18"/>
        <v>0</v>
      </c>
      <c r="J164" s="310"/>
    </row>
    <row r="165" spans="1:10" s="112" customFormat="1" ht="13.8" hidden="1" x14ac:dyDescent="0.25">
      <c r="A165" s="105" t="s">
        <v>312</v>
      </c>
      <c r="B165" s="105">
        <v>51</v>
      </c>
      <c r="C165" s="106">
        <v>3722</v>
      </c>
      <c r="D165" s="105" t="s">
        <v>79</v>
      </c>
      <c r="E165" s="107">
        <v>0</v>
      </c>
      <c r="F165" s="271">
        <v>3000</v>
      </c>
      <c r="G165" s="271"/>
      <c r="H165" s="271"/>
      <c r="I165" s="310">
        <f t="shared" si="18"/>
        <v>0</v>
      </c>
      <c r="J165" s="310"/>
    </row>
    <row r="166" spans="1:10" s="112" customFormat="1" ht="14.4" thickBot="1" x14ac:dyDescent="0.3">
      <c r="A166" s="109"/>
      <c r="B166" s="109"/>
      <c r="C166" s="110"/>
      <c r="D166" s="109"/>
      <c r="E166" s="111"/>
      <c r="F166" s="273"/>
      <c r="G166" s="273"/>
      <c r="H166" s="273"/>
      <c r="I166" s="232"/>
      <c r="J166" s="232"/>
    </row>
    <row r="167" spans="1:10" s="1" customFormat="1" ht="15.75" customHeight="1" thickBot="1" x14ac:dyDescent="0.35">
      <c r="A167" s="807" t="s">
        <v>274</v>
      </c>
      <c r="B167" s="808"/>
      <c r="C167" s="808"/>
      <c r="D167" s="809"/>
      <c r="E167" s="91">
        <f>SUM(E171)</f>
        <v>0</v>
      </c>
      <c r="F167" s="263">
        <f>SUM(F171)</f>
        <v>191000</v>
      </c>
      <c r="G167" s="263">
        <f>SUM(G171)</f>
        <v>200000</v>
      </c>
      <c r="H167" s="263">
        <f>SUM(H171)</f>
        <v>200000</v>
      </c>
      <c r="I167" s="228">
        <f>AVERAGE(G167/F167*100)</f>
        <v>104.71204188481676</v>
      </c>
      <c r="J167" s="228">
        <f>AVERAGE(H167/G167*100)</f>
        <v>100</v>
      </c>
    </row>
    <row r="168" spans="1:10" s="1" customFormat="1" ht="15.75" customHeight="1" x14ac:dyDescent="0.25">
      <c r="A168" s="174"/>
      <c r="B168" s="174"/>
      <c r="C168" s="174"/>
      <c r="D168" s="174"/>
      <c r="E168" s="175"/>
      <c r="F168" s="286"/>
      <c r="G168" s="286"/>
      <c r="H168" s="286"/>
      <c r="I168" s="227"/>
      <c r="J168" s="227"/>
    </row>
    <row r="169" spans="1:10" s="1" customFormat="1" ht="12.75" customHeight="1" x14ac:dyDescent="0.25">
      <c r="A169" s="104"/>
      <c r="B169" s="104"/>
      <c r="C169" s="104"/>
      <c r="D169" s="161" t="s">
        <v>203</v>
      </c>
      <c r="E169" s="96"/>
      <c r="F169" s="265"/>
      <c r="G169" s="265"/>
      <c r="H169" s="265"/>
      <c r="I169" s="229"/>
      <c r="J169" s="229"/>
    </row>
    <row r="170" spans="1:10" s="1" customFormat="1" ht="12.75" customHeight="1" x14ac:dyDescent="0.25">
      <c r="A170" s="104"/>
      <c r="B170" s="104"/>
      <c r="C170" s="104"/>
      <c r="D170" s="219" t="s">
        <v>197</v>
      </c>
      <c r="E170" s="98"/>
      <c r="F170" s="266"/>
      <c r="G170" s="266"/>
      <c r="H170" s="266"/>
      <c r="I170" s="230"/>
      <c r="J170" s="230"/>
    </row>
    <row r="171" spans="1:10" s="1" customFormat="1" ht="15.75" customHeight="1" x14ac:dyDescent="0.25">
      <c r="A171" s="104"/>
      <c r="B171" s="104"/>
      <c r="C171" s="104"/>
      <c r="D171" s="247" t="s">
        <v>303</v>
      </c>
      <c r="E171" s="177">
        <f t="shared" ref="E171:H172" si="19">SUM(E172)</f>
        <v>0</v>
      </c>
      <c r="F171" s="260">
        <f t="shared" si="19"/>
        <v>191000</v>
      </c>
      <c r="G171" s="260">
        <f t="shared" si="19"/>
        <v>200000</v>
      </c>
      <c r="H171" s="260">
        <f t="shared" si="19"/>
        <v>200000</v>
      </c>
      <c r="I171" s="311">
        <f>AVERAGE(G171/F171*100)</f>
        <v>104.71204188481676</v>
      </c>
      <c r="J171" s="311">
        <f>AVERAGE(H171/G171*100)</f>
        <v>100</v>
      </c>
    </row>
    <row r="172" spans="1:10" s="130" customFormat="1" ht="13.8" x14ac:dyDescent="0.25">
      <c r="A172" s="105" t="s">
        <v>313</v>
      </c>
      <c r="B172" s="101"/>
      <c r="C172" s="102">
        <v>37</v>
      </c>
      <c r="D172" s="101" t="s">
        <v>275</v>
      </c>
      <c r="E172" s="103">
        <f t="shared" si="19"/>
        <v>0</v>
      </c>
      <c r="F172" s="268">
        <f t="shared" si="19"/>
        <v>191000</v>
      </c>
      <c r="G172" s="268">
        <v>200000</v>
      </c>
      <c r="H172" s="268">
        <v>200000</v>
      </c>
      <c r="I172" s="310">
        <f t="shared" ref="I172:J174" si="20">AVERAGE(G172/F172*100)</f>
        <v>104.71204188481676</v>
      </c>
      <c r="J172" s="310">
        <f t="shared" si="20"/>
        <v>100</v>
      </c>
    </row>
    <row r="173" spans="1:10" s="130" customFormat="1" ht="13.8" x14ac:dyDescent="0.25">
      <c r="A173" s="105" t="s">
        <v>313</v>
      </c>
      <c r="B173" s="101"/>
      <c r="C173" s="102">
        <v>372</v>
      </c>
      <c r="D173" s="101" t="s">
        <v>276</v>
      </c>
      <c r="E173" s="103">
        <f>SUM(E174)</f>
        <v>0</v>
      </c>
      <c r="F173" s="268">
        <f>SUM(F174)</f>
        <v>191000</v>
      </c>
      <c r="G173" s="268"/>
      <c r="H173" s="268"/>
      <c r="I173" s="310">
        <f t="shared" si="20"/>
        <v>0</v>
      </c>
      <c r="J173" s="310"/>
    </row>
    <row r="174" spans="1:10" s="112" customFormat="1" ht="13.8" hidden="1" x14ac:dyDescent="0.25">
      <c r="A174" s="105" t="s">
        <v>313</v>
      </c>
      <c r="B174" s="105">
        <v>52</v>
      </c>
      <c r="C174" s="106">
        <v>37215</v>
      </c>
      <c r="D174" s="105" t="s">
        <v>277</v>
      </c>
      <c r="E174" s="107">
        <v>0</v>
      </c>
      <c r="F174" s="271">
        <v>191000</v>
      </c>
      <c r="G174" s="271"/>
      <c r="H174" s="271"/>
      <c r="I174" s="310">
        <f t="shared" si="20"/>
        <v>0</v>
      </c>
      <c r="J174" s="310"/>
    </row>
    <row r="175" spans="1:10" s="112" customFormat="1" ht="14.4" thickBot="1" x14ac:dyDescent="0.3">
      <c r="A175" s="109"/>
      <c r="B175" s="109"/>
      <c r="C175" s="110"/>
      <c r="D175" s="109"/>
      <c r="E175" s="111"/>
      <c r="F175" s="273"/>
      <c r="G175" s="273"/>
      <c r="H175" s="273"/>
      <c r="I175" s="232"/>
      <c r="J175" s="232"/>
    </row>
    <row r="176" spans="1:10" s="173" customFormat="1" ht="17.399999999999999" thickBot="1" x14ac:dyDescent="0.35">
      <c r="A176" s="791" t="s">
        <v>273</v>
      </c>
      <c r="B176" s="792"/>
      <c r="C176" s="792"/>
      <c r="D176" s="793"/>
      <c r="E176" s="178">
        <f>SUM(E178+E199)</f>
        <v>360000</v>
      </c>
      <c r="F176" s="288">
        <f>SUM(F178+F199)</f>
        <v>141000</v>
      </c>
      <c r="G176" s="288">
        <f>SUM(G178+G199)</f>
        <v>149000</v>
      </c>
      <c r="H176" s="288">
        <f>SUM(H178+H199)</f>
        <v>154000</v>
      </c>
      <c r="I176" s="226">
        <f>AVERAGE(G176/F176*100)</f>
        <v>105.67375886524823</v>
      </c>
      <c r="J176" s="226">
        <f>AVERAGE(H176/G176*100)</f>
        <v>103.35570469798658</v>
      </c>
    </row>
    <row r="177" spans="1:10" s="173" customFormat="1" ht="17.399999999999999" thickBot="1" x14ac:dyDescent="0.35">
      <c r="A177" s="171"/>
      <c r="B177" s="171"/>
      <c r="C177" s="171"/>
      <c r="D177" s="171"/>
      <c r="E177" s="172"/>
      <c r="F177" s="285"/>
      <c r="G177" s="285"/>
      <c r="H177" s="285"/>
      <c r="I177" s="227"/>
      <c r="J177" s="227"/>
    </row>
    <row r="178" spans="1:10" s="92" customFormat="1" ht="16.2" thickBot="1" x14ac:dyDescent="0.35">
      <c r="A178" s="807" t="s">
        <v>207</v>
      </c>
      <c r="B178" s="808"/>
      <c r="C178" s="808"/>
      <c r="D178" s="809"/>
      <c r="E178" s="91">
        <f>SUM(E183+E194)</f>
        <v>360000</v>
      </c>
      <c r="F178" s="263">
        <f>SUM(F183+F194)</f>
        <v>106000</v>
      </c>
      <c r="G178" s="263">
        <f>SUM(G183+G194)</f>
        <v>99000</v>
      </c>
      <c r="H178" s="263">
        <f>SUM(H183+H194)</f>
        <v>104000</v>
      </c>
      <c r="I178" s="228">
        <f>AVERAGE(G178/F178*100)</f>
        <v>93.396226415094347</v>
      </c>
      <c r="J178" s="228">
        <f>AVERAGE(H178/G178*100)</f>
        <v>105.05050505050507</v>
      </c>
    </row>
    <row r="179" spans="1:10" s="92" customFormat="1" ht="15.6" x14ac:dyDescent="0.3">
      <c r="A179" s="174"/>
      <c r="B179" s="174"/>
      <c r="C179" s="174"/>
      <c r="D179" s="174"/>
      <c r="E179" s="179"/>
      <c r="F179" s="289"/>
      <c r="G179" s="289"/>
      <c r="H179" s="289"/>
      <c r="I179" s="227"/>
      <c r="J179" s="227"/>
    </row>
    <row r="180" spans="1:10" s="1" customFormat="1" ht="13.8" x14ac:dyDescent="0.25">
      <c r="A180" s="104"/>
      <c r="B180" s="104"/>
      <c r="C180" s="104"/>
      <c r="D180" s="95" t="s">
        <v>208</v>
      </c>
      <c r="E180" s="96"/>
      <c r="F180" s="265"/>
      <c r="G180" s="265"/>
      <c r="H180" s="265"/>
      <c r="I180" s="237"/>
      <c r="J180" s="237"/>
    </row>
    <row r="181" spans="1:10" s="1" customFormat="1" ht="15" customHeight="1" x14ac:dyDescent="0.25">
      <c r="A181" s="104"/>
      <c r="B181" s="104"/>
      <c r="C181" s="104"/>
      <c r="D181" s="219" t="s">
        <v>209</v>
      </c>
      <c r="E181" s="98"/>
      <c r="F181" s="266"/>
      <c r="G181" s="266"/>
      <c r="H181" s="266"/>
      <c r="I181" s="238"/>
      <c r="J181" s="238"/>
    </row>
    <row r="182" spans="1:10" s="1" customFormat="1" ht="15" customHeight="1" x14ac:dyDescent="0.25">
      <c r="A182" s="104"/>
      <c r="B182" s="104"/>
      <c r="C182" s="104"/>
      <c r="D182" s="798" t="s">
        <v>304</v>
      </c>
      <c r="E182" s="98"/>
      <c r="F182" s="266"/>
      <c r="G182" s="266"/>
      <c r="H182" s="266"/>
      <c r="I182" s="239"/>
      <c r="J182" s="239"/>
    </row>
    <row r="183" spans="1:10" s="1" customFormat="1" ht="15.75" customHeight="1" x14ac:dyDescent="0.25">
      <c r="A183" s="156"/>
      <c r="B183" s="156"/>
      <c r="C183" s="156"/>
      <c r="D183" s="799"/>
      <c r="E183" s="177">
        <f>SUM(E184+E188)</f>
        <v>360000</v>
      </c>
      <c r="F183" s="260">
        <f>SUM(F184+F188)</f>
        <v>102000</v>
      </c>
      <c r="G183" s="260">
        <f>SUM(G184+G188)</f>
        <v>95000</v>
      </c>
      <c r="H183" s="260">
        <f>SUM(H184+H188)</f>
        <v>100000</v>
      </c>
      <c r="I183" s="311">
        <f>AVERAGE(G183/F183*100)</f>
        <v>93.137254901960787</v>
      </c>
      <c r="J183" s="311">
        <f>AVERAGE(H183/G183*100)</f>
        <v>105.26315789473684</v>
      </c>
    </row>
    <row r="184" spans="1:10" s="130" customFormat="1" ht="13.8" x14ac:dyDescent="0.25">
      <c r="A184" s="145" t="s">
        <v>292</v>
      </c>
      <c r="B184" s="101"/>
      <c r="C184" s="143">
        <v>37</v>
      </c>
      <c r="D184" s="144" t="s">
        <v>77</v>
      </c>
      <c r="E184" s="103">
        <f>SUM(E185)</f>
        <v>340000</v>
      </c>
      <c r="F184" s="268">
        <f>SUM(F185)</f>
        <v>87000</v>
      </c>
      <c r="G184" s="268">
        <v>85000</v>
      </c>
      <c r="H184" s="268">
        <v>90000</v>
      </c>
      <c r="I184" s="310">
        <f t="shared" ref="I184:J190" si="21">AVERAGE(G184/F184*100)</f>
        <v>97.701149425287355</v>
      </c>
      <c r="J184" s="310">
        <f t="shared" si="21"/>
        <v>105.88235294117648</v>
      </c>
    </row>
    <row r="185" spans="1:10" s="112" customFormat="1" ht="13.8" x14ac:dyDescent="0.25">
      <c r="A185" s="145" t="s">
        <v>292</v>
      </c>
      <c r="B185" s="101"/>
      <c r="C185" s="143">
        <v>372</v>
      </c>
      <c r="D185" s="144" t="s">
        <v>77</v>
      </c>
      <c r="E185" s="103">
        <f>SUM(E186:E187)</f>
        <v>340000</v>
      </c>
      <c r="F185" s="268">
        <f>SUM(F186:F187)</f>
        <v>87000</v>
      </c>
      <c r="G185" s="268"/>
      <c r="H185" s="268"/>
      <c r="I185" s="310">
        <f t="shared" si="21"/>
        <v>0</v>
      </c>
      <c r="J185" s="310"/>
    </row>
    <row r="186" spans="1:10" s="112" customFormat="1" ht="13.8" hidden="1" x14ac:dyDescent="0.25">
      <c r="A186" s="145" t="s">
        <v>292</v>
      </c>
      <c r="B186" s="105">
        <v>53</v>
      </c>
      <c r="C186" s="145">
        <v>3721</v>
      </c>
      <c r="D186" s="146" t="s">
        <v>78</v>
      </c>
      <c r="E186" s="107">
        <v>320000</v>
      </c>
      <c r="F186" s="271">
        <v>80000</v>
      </c>
      <c r="G186" s="271"/>
      <c r="H186" s="271"/>
      <c r="I186" s="310">
        <f t="shared" si="21"/>
        <v>0</v>
      </c>
      <c r="J186" s="310"/>
    </row>
    <row r="187" spans="1:10" s="112" customFormat="1" ht="13.8" hidden="1" x14ac:dyDescent="0.25">
      <c r="A187" s="145" t="s">
        <v>292</v>
      </c>
      <c r="B187" s="105">
        <v>54</v>
      </c>
      <c r="C187" s="145">
        <v>3722</v>
      </c>
      <c r="D187" s="146" t="s">
        <v>79</v>
      </c>
      <c r="E187" s="107">
        <v>20000</v>
      </c>
      <c r="F187" s="271">
        <v>7000</v>
      </c>
      <c r="G187" s="271"/>
      <c r="H187" s="271"/>
      <c r="I187" s="310">
        <f t="shared" si="21"/>
        <v>0</v>
      </c>
      <c r="J187" s="310"/>
    </row>
    <row r="188" spans="1:10" s="163" customFormat="1" ht="13.8" x14ac:dyDescent="0.25">
      <c r="A188" s="145" t="s">
        <v>292</v>
      </c>
      <c r="B188" s="143"/>
      <c r="C188" s="102">
        <v>38</v>
      </c>
      <c r="D188" s="144" t="s">
        <v>128</v>
      </c>
      <c r="E188" s="103">
        <f>SUM(E189)</f>
        <v>20000</v>
      </c>
      <c r="F188" s="268">
        <f>SUM(F189)</f>
        <v>15000</v>
      </c>
      <c r="G188" s="268">
        <v>10000</v>
      </c>
      <c r="H188" s="268">
        <v>10000</v>
      </c>
      <c r="I188" s="310">
        <f t="shared" si="21"/>
        <v>66.666666666666657</v>
      </c>
      <c r="J188" s="310">
        <f t="shared" si="21"/>
        <v>100</v>
      </c>
    </row>
    <row r="189" spans="1:10" s="163" customFormat="1" ht="13.8" x14ac:dyDescent="0.25">
      <c r="A189" s="145" t="s">
        <v>292</v>
      </c>
      <c r="B189" s="143"/>
      <c r="C189" s="102">
        <v>382</v>
      </c>
      <c r="D189" s="144" t="s">
        <v>38</v>
      </c>
      <c r="E189" s="103">
        <f>SUM(E190)</f>
        <v>20000</v>
      </c>
      <c r="F189" s="268">
        <f>SUM(F190)</f>
        <v>15000</v>
      </c>
      <c r="G189" s="268"/>
      <c r="H189" s="268"/>
      <c r="I189" s="310">
        <f t="shared" si="21"/>
        <v>0</v>
      </c>
      <c r="J189" s="310"/>
    </row>
    <row r="190" spans="1:10" s="158" customFormat="1" ht="13.8" hidden="1" x14ac:dyDescent="0.25">
      <c r="A190" s="145" t="s">
        <v>292</v>
      </c>
      <c r="B190" s="213">
        <v>55</v>
      </c>
      <c r="C190" s="106">
        <v>3822</v>
      </c>
      <c r="D190" s="146" t="s">
        <v>88</v>
      </c>
      <c r="E190" s="107">
        <v>20000</v>
      </c>
      <c r="F190" s="271">
        <v>15000</v>
      </c>
      <c r="G190" s="271"/>
      <c r="H190" s="271"/>
      <c r="I190" s="310">
        <f t="shared" si="21"/>
        <v>0</v>
      </c>
      <c r="J190" s="310"/>
    </row>
    <row r="191" spans="1:10" s="170" customFormat="1" x14ac:dyDescent="0.25">
      <c r="A191" s="166"/>
      <c r="B191" s="85"/>
      <c r="C191" s="166"/>
      <c r="D191" s="85"/>
      <c r="E191" s="166"/>
      <c r="F191" s="284"/>
      <c r="G191" s="284"/>
      <c r="H191" s="284"/>
      <c r="I191" s="235"/>
      <c r="J191" s="235"/>
    </row>
    <row r="192" spans="1:10" s="180" customFormat="1" ht="13.8" x14ac:dyDescent="0.25">
      <c r="B192" s="75"/>
      <c r="C192" s="181"/>
      <c r="D192" s="182" t="s">
        <v>208</v>
      </c>
      <c r="E192" s="96"/>
      <c r="F192" s="265"/>
      <c r="G192" s="265"/>
      <c r="H192" s="265"/>
      <c r="I192" s="237"/>
      <c r="J192" s="237"/>
    </row>
    <row r="193" spans="1:10" s="180" customFormat="1" ht="13.8" x14ac:dyDescent="0.25">
      <c r="B193" s="75"/>
      <c r="C193" s="181"/>
      <c r="D193" s="218" t="s">
        <v>197</v>
      </c>
      <c r="E193" s="183"/>
      <c r="F193" s="290"/>
      <c r="G193" s="290"/>
      <c r="H193" s="290"/>
      <c r="I193" s="238"/>
      <c r="J193" s="238"/>
    </row>
    <row r="194" spans="1:10" s="75" customFormat="1" ht="27.6" x14ac:dyDescent="0.25">
      <c r="C194" s="181"/>
      <c r="D194" s="252" t="s">
        <v>305</v>
      </c>
      <c r="E194" s="177">
        <f t="shared" ref="E194:H196" si="22">SUM(E195)</f>
        <v>0</v>
      </c>
      <c r="F194" s="260">
        <f t="shared" si="22"/>
        <v>4000</v>
      </c>
      <c r="G194" s="260">
        <f t="shared" si="22"/>
        <v>4000</v>
      </c>
      <c r="H194" s="260">
        <f t="shared" si="22"/>
        <v>4000</v>
      </c>
      <c r="I194" s="312">
        <f>AVERAGE(G194/F194*100)</f>
        <v>100</v>
      </c>
      <c r="J194" s="312">
        <f>AVERAGE(H194/G194*100)</f>
        <v>100</v>
      </c>
    </row>
    <row r="195" spans="1:10" s="163" customFormat="1" ht="13.8" x14ac:dyDescent="0.25">
      <c r="A195" s="145" t="s">
        <v>306</v>
      </c>
      <c r="B195" s="143"/>
      <c r="C195" s="102">
        <v>37</v>
      </c>
      <c r="D195" s="144" t="s">
        <v>77</v>
      </c>
      <c r="E195" s="103">
        <f t="shared" si="22"/>
        <v>0</v>
      </c>
      <c r="F195" s="268">
        <f t="shared" si="22"/>
        <v>4000</v>
      </c>
      <c r="G195" s="268">
        <v>4000</v>
      </c>
      <c r="H195" s="268">
        <v>4000</v>
      </c>
      <c r="I195" s="310">
        <f t="shared" ref="I195:J197" si="23">AVERAGE(G195/F195*100)</f>
        <v>100</v>
      </c>
      <c r="J195" s="310">
        <f t="shared" si="23"/>
        <v>100</v>
      </c>
    </row>
    <row r="196" spans="1:10" s="163" customFormat="1" ht="13.8" x14ac:dyDescent="0.25">
      <c r="A196" s="145" t="s">
        <v>306</v>
      </c>
      <c r="B196" s="143"/>
      <c r="C196" s="102">
        <v>372</v>
      </c>
      <c r="D196" s="144" t="s">
        <v>77</v>
      </c>
      <c r="E196" s="103">
        <f t="shared" si="22"/>
        <v>0</v>
      </c>
      <c r="F196" s="268">
        <f t="shared" si="22"/>
        <v>4000</v>
      </c>
      <c r="G196" s="268"/>
      <c r="H196" s="268"/>
      <c r="I196" s="310">
        <f t="shared" si="23"/>
        <v>0</v>
      </c>
      <c r="J196" s="310"/>
    </row>
    <row r="197" spans="1:10" s="158" customFormat="1" ht="13.8" hidden="1" x14ac:dyDescent="0.25">
      <c r="A197" s="145" t="s">
        <v>306</v>
      </c>
      <c r="B197" s="213">
        <v>56</v>
      </c>
      <c r="C197" s="106">
        <v>3721</v>
      </c>
      <c r="D197" s="146" t="s">
        <v>78</v>
      </c>
      <c r="E197" s="107">
        <v>0</v>
      </c>
      <c r="F197" s="271">
        <v>4000</v>
      </c>
      <c r="G197" s="271"/>
      <c r="H197" s="271"/>
      <c r="I197" s="310">
        <f t="shared" si="23"/>
        <v>0</v>
      </c>
      <c r="J197" s="310"/>
    </row>
    <row r="198" spans="1:10" s="158" customFormat="1" ht="14.4" thickBot="1" x14ac:dyDescent="0.3">
      <c r="A198" s="152"/>
      <c r="B198" s="152"/>
      <c r="C198" s="110"/>
      <c r="D198" s="153"/>
      <c r="E198" s="111"/>
      <c r="F198" s="273"/>
      <c r="G198" s="273"/>
      <c r="H198" s="273"/>
      <c r="I198" s="232"/>
      <c r="J198" s="232"/>
    </row>
    <row r="199" spans="1:10" s="79" customFormat="1" ht="16.5" customHeight="1" thickBot="1" x14ac:dyDescent="0.35">
      <c r="A199" s="776" t="s">
        <v>210</v>
      </c>
      <c r="B199" s="777"/>
      <c r="C199" s="777"/>
      <c r="D199" s="817"/>
      <c r="E199" s="91">
        <f>SUM(E203)</f>
        <v>0</v>
      </c>
      <c r="F199" s="263">
        <f>SUM(F203)</f>
        <v>35000</v>
      </c>
      <c r="G199" s="263">
        <f>SUM(G203)</f>
        <v>50000</v>
      </c>
      <c r="H199" s="263">
        <f>SUM(H203)</f>
        <v>50000</v>
      </c>
      <c r="I199" s="228">
        <f>AVERAGE(G199/F199*100)</f>
        <v>142.85714285714286</v>
      </c>
      <c r="J199" s="228">
        <f>AVERAGE(H199/G199*100)</f>
        <v>100</v>
      </c>
    </row>
    <row r="200" spans="1:10" s="79" customFormat="1" ht="15.6" x14ac:dyDescent="0.3">
      <c r="A200" s="80"/>
      <c r="B200" s="80"/>
      <c r="C200" s="80"/>
      <c r="D200" s="80"/>
      <c r="E200" s="179"/>
      <c r="F200" s="289"/>
      <c r="G200" s="289"/>
      <c r="H200" s="289"/>
      <c r="I200" s="227"/>
      <c r="J200" s="227"/>
    </row>
    <row r="201" spans="1:10" s="180" customFormat="1" ht="13.8" x14ac:dyDescent="0.25">
      <c r="D201" s="182" t="s">
        <v>211</v>
      </c>
      <c r="E201" s="162"/>
      <c r="F201" s="283"/>
      <c r="G201" s="283"/>
      <c r="H201" s="283"/>
      <c r="I201" s="229"/>
      <c r="J201" s="229"/>
    </row>
    <row r="202" spans="1:10" s="180" customFormat="1" x14ac:dyDescent="0.25">
      <c r="D202" s="218" t="s">
        <v>195</v>
      </c>
      <c r="E202" s="184"/>
      <c r="F202" s="291"/>
      <c r="G202" s="291"/>
      <c r="H202" s="291"/>
      <c r="I202" s="230"/>
      <c r="J202" s="230"/>
    </row>
    <row r="203" spans="1:10" s="75" customFormat="1" ht="13.8" x14ac:dyDescent="0.25">
      <c r="A203" s="180"/>
      <c r="B203" s="180"/>
      <c r="C203" s="180"/>
      <c r="D203" s="252" t="s">
        <v>314</v>
      </c>
      <c r="E203" s="177">
        <f t="shared" ref="E203:H205" si="24">SUM(E204)</f>
        <v>0</v>
      </c>
      <c r="F203" s="260">
        <f t="shared" si="24"/>
        <v>35000</v>
      </c>
      <c r="G203" s="260">
        <f t="shared" si="24"/>
        <v>50000</v>
      </c>
      <c r="H203" s="260">
        <f t="shared" si="24"/>
        <v>50000</v>
      </c>
      <c r="I203" s="312">
        <f>AVERAGE(G203/F203*100)</f>
        <v>142.85714285714286</v>
      </c>
      <c r="J203" s="312">
        <f>AVERAGE(H203/G203*100)</f>
        <v>100</v>
      </c>
    </row>
    <row r="204" spans="1:10" s="130" customFormat="1" ht="13.8" x14ac:dyDescent="0.25">
      <c r="A204" s="105" t="s">
        <v>293</v>
      </c>
      <c r="B204" s="101"/>
      <c r="C204" s="143">
        <v>32</v>
      </c>
      <c r="D204" s="144" t="s">
        <v>180</v>
      </c>
      <c r="E204" s="103">
        <f t="shared" si="24"/>
        <v>0</v>
      </c>
      <c r="F204" s="268">
        <f t="shared" si="24"/>
        <v>35000</v>
      </c>
      <c r="G204" s="268">
        <v>50000</v>
      </c>
      <c r="H204" s="268">
        <v>50000</v>
      </c>
      <c r="I204" s="310">
        <f t="shared" ref="I204:J206" si="25">AVERAGE(G204/F204*100)</f>
        <v>142.85714285714286</v>
      </c>
      <c r="J204" s="310">
        <f t="shared" si="25"/>
        <v>100</v>
      </c>
    </row>
    <row r="205" spans="1:10" s="130" customFormat="1" ht="13.8" x14ac:dyDescent="0.25">
      <c r="A205" s="105" t="s">
        <v>293</v>
      </c>
      <c r="B205" s="101"/>
      <c r="C205" s="143">
        <v>323</v>
      </c>
      <c r="D205" s="144" t="s">
        <v>56</v>
      </c>
      <c r="E205" s="103">
        <f t="shared" si="24"/>
        <v>0</v>
      </c>
      <c r="F205" s="268">
        <f t="shared" si="24"/>
        <v>35000</v>
      </c>
      <c r="G205" s="268"/>
      <c r="H205" s="268"/>
      <c r="I205" s="310">
        <f t="shared" si="25"/>
        <v>0</v>
      </c>
      <c r="J205" s="310"/>
    </row>
    <row r="206" spans="1:10" s="158" customFormat="1" ht="13.8" hidden="1" x14ac:dyDescent="0.25">
      <c r="A206" s="105" t="s">
        <v>293</v>
      </c>
      <c r="B206" s="145">
        <v>57</v>
      </c>
      <c r="C206" s="106">
        <v>3234</v>
      </c>
      <c r="D206" s="146" t="s">
        <v>60</v>
      </c>
      <c r="E206" s="107">
        <v>0</v>
      </c>
      <c r="F206" s="271">
        <v>35000</v>
      </c>
      <c r="G206" s="271"/>
      <c r="H206" s="271"/>
      <c r="I206" s="310">
        <f t="shared" si="25"/>
        <v>0</v>
      </c>
      <c r="J206" s="310"/>
    </row>
    <row r="207" spans="1:10" s="158" customFormat="1" ht="14.4" thickBot="1" x14ac:dyDescent="0.3">
      <c r="A207" s="112"/>
      <c r="C207" s="169"/>
      <c r="D207" s="159"/>
      <c r="E207" s="160"/>
      <c r="F207" s="282"/>
      <c r="G207" s="282"/>
      <c r="H207" s="282"/>
      <c r="I207" s="232"/>
      <c r="J207" s="232"/>
    </row>
    <row r="208" spans="1:10" s="173" customFormat="1" ht="17.25" customHeight="1" thickBot="1" x14ac:dyDescent="0.35">
      <c r="A208" s="818" t="s">
        <v>212</v>
      </c>
      <c r="B208" s="819"/>
      <c r="C208" s="819"/>
      <c r="D208" s="820"/>
      <c r="E208" s="178">
        <f>SUM(E210+E244)</f>
        <v>15000</v>
      </c>
      <c r="F208" s="288">
        <f>SUM(F210+F244)</f>
        <v>140000</v>
      </c>
      <c r="G208" s="288">
        <f>SUM(G210+G244)</f>
        <v>175000</v>
      </c>
      <c r="H208" s="288">
        <f>SUM(H210+H244)</f>
        <v>195000</v>
      </c>
      <c r="I208" s="226">
        <f>AVERAGE(G208/F208*100)</f>
        <v>125</v>
      </c>
      <c r="J208" s="226">
        <f>AVERAGE(H208/G208*100)</f>
        <v>111.42857142857143</v>
      </c>
    </row>
    <row r="209" spans="1:10" s="173" customFormat="1" ht="17.399999999999999" thickBot="1" x14ac:dyDescent="0.35">
      <c r="A209" s="185"/>
      <c r="B209" s="185"/>
      <c r="C209" s="185"/>
      <c r="D209" s="185"/>
      <c r="E209" s="172"/>
      <c r="F209" s="285"/>
      <c r="G209" s="285"/>
      <c r="H209" s="285"/>
      <c r="I209" s="227"/>
      <c r="J209" s="227"/>
    </row>
    <row r="210" spans="1:10" s="79" customFormat="1" ht="16.5" customHeight="1" thickBot="1" x14ac:dyDescent="0.35">
      <c r="A210" s="821" t="s">
        <v>213</v>
      </c>
      <c r="B210" s="822"/>
      <c r="C210" s="822"/>
      <c r="D210" s="823"/>
      <c r="E210" s="91">
        <f>SUM(E214+E221+E228+E239)</f>
        <v>5000</v>
      </c>
      <c r="F210" s="263">
        <f>SUM(F214+F221+F228+F239)</f>
        <v>135000</v>
      </c>
      <c r="G210" s="263">
        <f>SUM(G214+G221+G228+G239)</f>
        <v>170000</v>
      </c>
      <c r="H210" s="263">
        <f>SUM(H214+H221+H228+H239)</f>
        <v>190000</v>
      </c>
      <c r="I210" s="228">
        <f>AVERAGE(G210/F210*100)</f>
        <v>125.92592592592592</v>
      </c>
      <c r="J210" s="228">
        <f>AVERAGE(H210/G210*100)</f>
        <v>111.76470588235294</v>
      </c>
    </row>
    <row r="211" spans="1:10" s="79" customFormat="1" ht="15.6" x14ac:dyDescent="0.3">
      <c r="A211" s="186"/>
      <c r="B211" s="186"/>
      <c r="C211" s="186"/>
      <c r="D211" s="186"/>
      <c r="E211" s="179"/>
      <c r="F211" s="289"/>
      <c r="G211" s="289"/>
      <c r="H211" s="289"/>
      <c r="I211" s="227"/>
      <c r="J211" s="227"/>
    </row>
    <row r="212" spans="1:10" ht="13.8" x14ac:dyDescent="0.25">
      <c r="A212" s="794"/>
      <c r="B212" s="794"/>
      <c r="C212" s="795"/>
      <c r="D212" s="95" t="s">
        <v>214</v>
      </c>
      <c r="E212" s="96"/>
      <c r="F212" s="265"/>
      <c r="G212" s="265"/>
      <c r="H212" s="265"/>
      <c r="I212" s="229"/>
      <c r="J212" s="229"/>
    </row>
    <row r="213" spans="1:10" ht="13.8" x14ac:dyDescent="0.25">
      <c r="A213" s="794"/>
      <c r="B213" s="794"/>
      <c r="C213" s="795"/>
      <c r="D213" s="219" t="s">
        <v>215</v>
      </c>
      <c r="E213" s="98"/>
      <c r="F213" s="266"/>
      <c r="G213" s="266"/>
      <c r="H213" s="266"/>
      <c r="I213" s="230"/>
      <c r="J213" s="230"/>
    </row>
    <row r="214" spans="1:10" s="1" customFormat="1" ht="13.8" x14ac:dyDescent="0.25">
      <c r="A214" s="796"/>
      <c r="B214" s="796"/>
      <c r="C214" s="797"/>
      <c r="D214" s="248" t="s">
        <v>315</v>
      </c>
      <c r="E214" s="177">
        <f t="shared" ref="E214:H216" si="26">SUM(E215)</f>
        <v>5000</v>
      </c>
      <c r="F214" s="260">
        <f t="shared" si="26"/>
        <v>100000</v>
      </c>
      <c r="G214" s="260">
        <f t="shared" si="26"/>
        <v>120000</v>
      </c>
      <c r="H214" s="260">
        <f t="shared" si="26"/>
        <v>150000</v>
      </c>
      <c r="I214" s="312">
        <f>AVERAGE(G214/F214*100)</f>
        <v>120</v>
      </c>
      <c r="J214" s="312">
        <f>AVERAGE(H214/G214*100)</f>
        <v>125</v>
      </c>
    </row>
    <row r="215" spans="1:10" s="163" customFormat="1" ht="13.8" x14ac:dyDescent="0.25">
      <c r="A215" s="131" t="s">
        <v>292</v>
      </c>
      <c r="B215" s="143"/>
      <c r="C215" s="102">
        <v>32</v>
      </c>
      <c r="D215" s="144" t="s">
        <v>180</v>
      </c>
      <c r="E215" s="103">
        <f t="shared" si="26"/>
        <v>5000</v>
      </c>
      <c r="F215" s="268">
        <f t="shared" si="26"/>
        <v>100000</v>
      </c>
      <c r="G215" s="268">
        <v>120000</v>
      </c>
      <c r="H215" s="268">
        <v>150000</v>
      </c>
      <c r="I215" s="310">
        <f t="shared" ref="I215:J217" si="27">AVERAGE(G215/F215*100)</f>
        <v>120</v>
      </c>
      <c r="J215" s="310">
        <f t="shared" si="27"/>
        <v>125</v>
      </c>
    </row>
    <row r="216" spans="1:10" s="163" customFormat="1" ht="13.8" x14ac:dyDescent="0.25">
      <c r="A216" s="131" t="s">
        <v>292</v>
      </c>
      <c r="B216" s="143"/>
      <c r="C216" s="102">
        <v>323</v>
      </c>
      <c r="D216" s="144" t="s">
        <v>56</v>
      </c>
      <c r="E216" s="103">
        <f t="shared" si="26"/>
        <v>5000</v>
      </c>
      <c r="F216" s="268">
        <f t="shared" si="26"/>
        <v>100000</v>
      </c>
      <c r="G216" s="268"/>
      <c r="H216" s="268"/>
      <c r="I216" s="310">
        <f t="shared" si="27"/>
        <v>0</v>
      </c>
      <c r="J216" s="310"/>
    </row>
    <row r="217" spans="1:10" s="158" customFormat="1" ht="13.8" hidden="1" x14ac:dyDescent="0.25">
      <c r="A217" s="131" t="s">
        <v>292</v>
      </c>
      <c r="B217" s="145">
        <v>58</v>
      </c>
      <c r="C217" s="106">
        <v>3239</v>
      </c>
      <c r="D217" s="146" t="s">
        <v>216</v>
      </c>
      <c r="E217" s="107">
        <v>5000</v>
      </c>
      <c r="F217" s="271">
        <v>100000</v>
      </c>
      <c r="G217" s="271"/>
      <c r="H217" s="271"/>
      <c r="I217" s="310">
        <f t="shared" si="27"/>
        <v>0</v>
      </c>
      <c r="J217" s="310"/>
    </row>
    <row r="218" spans="1:10" s="158" customFormat="1" ht="13.8" x14ac:dyDescent="0.25">
      <c r="A218" s="152"/>
      <c r="B218" s="152"/>
      <c r="C218" s="110"/>
      <c r="D218" s="153"/>
      <c r="E218" s="111"/>
      <c r="F218" s="273"/>
      <c r="G218" s="273"/>
      <c r="H218" s="273"/>
      <c r="I218" s="232"/>
      <c r="J218" s="232"/>
    </row>
    <row r="219" spans="1:10" ht="13.8" x14ac:dyDescent="0.25">
      <c r="A219" s="108"/>
      <c r="B219" s="1"/>
      <c r="C219" s="187"/>
      <c r="D219" s="182" t="s">
        <v>214</v>
      </c>
      <c r="E219" s="96"/>
      <c r="F219" s="265"/>
      <c r="G219" s="265"/>
      <c r="H219" s="265"/>
      <c r="I219" s="810">
        <v>0</v>
      </c>
      <c r="J219" s="810">
        <v>0</v>
      </c>
    </row>
    <row r="220" spans="1:10" ht="13.8" x14ac:dyDescent="0.25">
      <c r="A220" s="108"/>
      <c r="B220" s="1"/>
      <c r="C220" s="187"/>
      <c r="D220" s="218" t="s">
        <v>217</v>
      </c>
      <c r="E220" s="98"/>
      <c r="F220" s="266"/>
      <c r="G220" s="266"/>
      <c r="H220" s="266"/>
      <c r="I220" s="811"/>
      <c r="J220" s="811"/>
    </row>
    <row r="221" spans="1:10" s="1" customFormat="1" ht="13.8" x14ac:dyDescent="0.25">
      <c r="A221" s="104"/>
      <c r="C221" s="187"/>
      <c r="D221" s="252" t="s">
        <v>316</v>
      </c>
      <c r="E221" s="177">
        <f t="shared" ref="E221:H223" si="28">SUM(E222)</f>
        <v>0</v>
      </c>
      <c r="F221" s="260">
        <f t="shared" si="28"/>
        <v>15000</v>
      </c>
      <c r="G221" s="260">
        <f t="shared" si="28"/>
        <v>20000</v>
      </c>
      <c r="H221" s="260">
        <f t="shared" si="28"/>
        <v>20000</v>
      </c>
      <c r="I221" s="812"/>
      <c r="J221" s="812"/>
    </row>
    <row r="222" spans="1:10" s="163" customFormat="1" ht="13.8" x14ac:dyDescent="0.25">
      <c r="A222" s="145" t="s">
        <v>306</v>
      </c>
      <c r="B222" s="143"/>
      <c r="C222" s="102">
        <v>38</v>
      </c>
      <c r="D222" s="144" t="s">
        <v>128</v>
      </c>
      <c r="E222" s="103">
        <f t="shared" si="28"/>
        <v>0</v>
      </c>
      <c r="F222" s="268">
        <f t="shared" si="28"/>
        <v>15000</v>
      </c>
      <c r="G222" s="268">
        <v>20000</v>
      </c>
      <c r="H222" s="268">
        <v>20000</v>
      </c>
      <c r="I222" s="310">
        <f t="shared" ref="I222:J224" si="29">AVERAGE(G222/F222*100)</f>
        <v>133.33333333333331</v>
      </c>
      <c r="J222" s="310">
        <f t="shared" si="29"/>
        <v>100</v>
      </c>
    </row>
    <row r="223" spans="1:10" s="163" customFormat="1" ht="13.8" x14ac:dyDescent="0.25">
      <c r="A223" s="145" t="s">
        <v>306</v>
      </c>
      <c r="B223" s="143"/>
      <c r="C223" s="102">
        <v>381</v>
      </c>
      <c r="D223" s="144" t="s">
        <v>37</v>
      </c>
      <c r="E223" s="103">
        <f t="shared" si="28"/>
        <v>0</v>
      </c>
      <c r="F223" s="268">
        <f t="shared" si="28"/>
        <v>15000</v>
      </c>
      <c r="G223" s="268"/>
      <c r="H223" s="268"/>
      <c r="I223" s="310">
        <f t="shared" si="29"/>
        <v>0</v>
      </c>
      <c r="J223" s="310"/>
    </row>
    <row r="224" spans="1:10" s="158" customFormat="1" ht="13.8" hidden="1" x14ac:dyDescent="0.25">
      <c r="A224" s="145" t="s">
        <v>306</v>
      </c>
      <c r="B224" s="145">
        <v>59</v>
      </c>
      <c r="C224" s="106">
        <v>3811</v>
      </c>
      <c r="D224" s="146" t="s">
        <v>279</v>
      </c>
      <c r="E224" s="107">
        <v>0</v>
      </c>
      <c r="F224" s="271">
        <v>15000</v>
      </c>
      <c r="G224" s="271"/>
      <c r="H224" s="271"/>
      <c r="I224" s="310">
        <f t="shared" si="29"/>
        <v>0</v>
      </c>
      <c r="J224" s="310"/>
    </row>
    <row r="225" spans="1:10" s="158" customFormat="1" ht="13.8" x14ac:dyDescent="0.25">
      <c r="A225" s="152"/>
      <c r="B225" s="152"/>
      <c r="C225" s="110"/>
      <c r="D225" s="153"/>
      <c r="E225" s="111"/>
      <c r="F225" s="273"/>
      <c r="G225" s="273"/>
      <c r="H225" s="273"/>
      <c r="I225" s="232"/>
      <c r="J225" s="232"/>
    </row>
    <row r="226" spans="1:10" ht="13.8" x14ac:dyDescent="0.25">
      <c r="A226" s="108"/>
      <c r="B226" s="1"/>
      <c r="C226" s="187"/>
      <c r="D226" s="182" t="s">
        <v>214</v>
      </c>
      <c r="E226" s="96"/>
      <c r="F226" s="265"/>
      <c r="G226" s="265"/>
      <c r="H226" s="265"/>
      <c r="I226" s="229"/>
      <c r="J226" s="229"/>
    </row>
    <row r="227" spans="1:10" ht="13.8" x14ac:dyDescent="0.25">
      <c r="A227" s="108"/>
      <c r="B227" s="1"/>
      <c r="C227" s="187"/>
      <c r="D227" s="218" t="s">
        <v>197</v>
      </c>
      <c r="E227" s="98"/>
      <c r="F227" s="266"/>
      <c r="G227" s="266"/>
      <c r="H227" s="266"/>
      <c r="I227" s="230"/>
      <c r="J227" s="230"/>
    </row>
    <row r="228" spans="1:10" s="1" customFormat="1" ht="13.8" x14ac:dyDescent="0.25">
      <c r="A228" s="104"/>
      <c r="C228" s="187"/>
      <c r="D228" s="253" t="s">
        <v>317</v>
      </c>
      <c r="E228" s="177">
        <f>SUM(E229+E232)</f>
        <v>0</v>
      </c>
      <c r="F228" s="260">
        <f>SUM(F229+F232)</f>
        <v>15000</v>
      </c>
      <c r="G228" s="260">
        <f>SUM(G229+G232)</f>
        <v>25000</v>
      </c>
      <c r="H228" s="260">
        <f>SUM(H229+H232)</f>
        <v>15000</v>
      </c>
      <c r="I228" s="312">
        <f>AVERAGE(G228/F228*100)</f>
        <v>166.66666666666669</v>
      </c>
      <c r="J228" s="312">
        <f>AVERAGE(H228/G228*100)</f>
        <v>60</v>
      </c>
    </row>
    <row r="229" spans="1:10" s="163" customFormat="1" ht="13.8" x14ac:dyDescent="0.25">
      <c r="A229" s="145" t="s">
        <v>307</v>
      </c>
      <c r="B229" s="143"/>
      <c r="C229" s="143">
        <v>32</v>
      </c>
      <c r="D229" s="144" t="s">
        <v>180</v>
      </c>
      <c r="E229" s="103">
        <f>SUM(E230)</f>
        <v>0</v>
      </c>
      <c r="F229" s="268">
        <f>SUM(F230)</f>
        <v>5000</v>
      </c>
      <c r="G229" s="268">
        <v>5000</v>
      </c>
      <c r="H229" s="268">
        <v>5000</v>
      </c>
      <c r="I229" s="310">
        <f t="shared" ref="I229:J234" si="30">AVERAGE(G229/F229*100)</f>
        <v>100</v>
      </c>
      <c r="J229" s="310">
        <f t="shared" si="30"/>
        <v>100</v>
      </c>
    </row>
    <row r="230" spans="1:10" s="163" customFormat="1" ht="13.8" x14ac:dyDescent="0.25">
      <c r="A230" s="145" t="s">
        <v>307</v>
      </c>
      <c r="B230" s="143"/>
      <c r="C230" s="143">
        <v>322</v>
      </c>
      <c r="D230" s="144" t="s">
        <v>52</v>
      </c>
      <c r="E230" s="103">
        <f>SUM(E231)</f>
        <v>0</v>
      </c>
      <c r="F230" s="268">
        <f>SUM(F231)</f>
        <v>5000</v>
      </c>
      <c r="G230" s="268"/>
      <c r="H230" s="268"/>
      <c r="I230" s="310">
        <f t="shared" si="30"/>
        <v>0</v>
      </c>
      <c r="J230" s="310"/>
    </row>
    <row r="231" spans="1:10" s="158" customFormat="1" ht="13.8" hidden="1" x14ac:dyDescent="0.25">
      <c r="A231" s="145" t="s">
        <v>307</v>
      </c>
      <c r="B231" s="145">
        <v>60</v>
      </c>
      <c r="C231" s="145">
        <v>3227</v>
      </c>
      <c r="D231" s="146" t="s">
        <v>219</v>
      </c>
      <c r="E231" s="107">
        <v>0</v>
      </c>
      <c r="F231" s="271">
        <v>5000</v>
      </c>
      <c r="G231" s="271"/>
      <c r="H231" s="271"/>
      <c r="I231" s="310">
        <f t="shared" si="30"/>
        <v>0</v>
      </c>
      <c r="J231" s="310"/>
    </row>
    <row r="232" spans="1:10" s="163" customFormat="1" ht="13.8" x14ac:dyDescent="0.25">
      <c r="A232" s="145" t="s">
        <v>307</v>
      </c>
      <c r="B232" s="143"/>
      <c r="C232" s="143">
        <v>42</v>
      </c>
      <c r="D232" s="144" t="s">
        <v>278</v>
      </c>
      <c r="E232" s="103">
        <f>SUM(E233)</f>
        <v>0</v>
      </c>
      <c r="F232" s="268">
        <f>SUM(F233)</f>
        <v>10000</v>
      </c>
      <c r="G232" s="268">
        <v>20000</v>
      </c>
      <c r="H232" s="268">
        <v>10000</v>
      </c>
      <c r="I232" s="310">
        <f t="shared" si="30"/>
        <v>200</v>
      </c>
      <c r="J232" s="310">
        <f t="shared" si="30"/>
        <v>50</v>
      </c>
    </row>
    <row r="233" spans="1:10" s="163" customFormat="1" ht="13.8" x14ac:dyDescent="0.25">
      <c r="A233" s="145" t="s">
        <v>307</v>
      </c>
      <c r="B233" s="143"/>
      <c r="C233" s="143">
        <v>422</v>
      </c>
      <c r="D233" s="144" t="s">
        <v>99</v>
      </c>
      <c r="E233" s="103">
        <f>SUM(E234)</f>
        <v>0</v>
      </c>
      <c r="F233" s="268">
        <f>SUM(F234)</f>
        <v>10000</v>
      </c>
      <c r="G233" s="268"/>
      <c r="H233" s="268"/>
      <c r="I233" s="310">
        <f t="shared" si="30"/>
        <v>0</v>
      </c>
      <c r="J233" s="310"/>
    </row>
    <row r="234" spans="1:10" s="158" customFormat="1" ht="13.8" hidden="1" x14ac:dyDescent="0.25">
      <c r="A234" s="145" t="s">
        <v>307</v>
      </c>
      <c r="B234" s="145">
        <v>61</v>
      </c>
      <c r="C234" s="145">
        <v>4223</v>
      </c>
      <c r="D234" s="146" t="s">
        <v>112</v>
      </c>
      <c r="E234" s="107">
        <v>0</v>
      </c>
      <c r="F234" s="271">
        <v>10000</v>
      </c>
      <c r="G234" s="271"/>
      <c r="H234" s="271"/>
      <c r="I234" s="310">
        <f t="shared" si="30"/>
        <v>0</v>
      </c>
      <c r="J234" s="310"/>
    </row>
    <row r="235" spans="1:10" s="170" customFormat="1" x14ac:dyDescent="0.25">
      <c r="A235" s="166"/>
      <c r="B235" s="85"/>
      <c r="C235" s="166"/>
      <c r="D235" s="85"/>
      <c r="E235" s="166"/>
      <c r="F235" s="284"/>
      <c r="G235" s="284"/>
      <c r="H235" s="284"/>
      <c r="I235" s="235"/>
      <c r="J235" s="235"/>
    </row>
    <row r="236" spans="1:10" ht="13.8" x14ac:dyDescent="0.25">
      <c r="A236" s="108"/>
      <c r="B236" s="1"/>
      <c r="C236" s="187"/>
      <c r="D236" s="182" t="s">
        <v>214</v>
      </c>
      <c r="E236" s="96"/>
      <c r="F236" s="265"/>
      <c r="G236" s="265"/>
      <c r="H236" s="265"/>
      <c r="I236" s="237"/>
      <c r="J236" s="237"/>
    </row>
    <row r="237" spans="1:10" s="116" customFormat="1" ht="13.8" x14ac:dyDescent="0.25">
      <c r="C237" s="188"/>
      <c r="D237" s="218" t="s">
        <v>220</v>
      </c>
      <c r="E237" s="189"/>
      <c r="F237" s="292"/>
      <c r="G237" s="292"/>
      <c r="H237" s="292"/>
      <c r="I237" s="238"/>
      <c r="J237" s="238"/>
    </row>
    <row r="238" spans="1:10" ht="13.8" x14ac:dyDescent="0.25">
      <c r="A238" s="108"/>
      <c r="B238" s="1"/>
      <c r="C238" s="187"/>
      <c r="D238" s="798" t="s">
        <v>318</v>
      </c>
      <c r="E238" s="98"/>
      <c r="F238" s="266"/>
      <c r="G238" s="266"/>
      <c r="H238" s="266"/>
      <c r="I238" s="238"/>
      <c r="J238" s="238"/>
    </row>
    <row r="239" spans="1:10" s="1" customFormat="1" ht="13.8" x14ac:dyDescent="0.25">
      <c r="A239" s="104"/>
      <c r="C239" s="187"/>
      <c r="D239" s="799"/>
      <c r="E239" s="177">
        <f t="shared" ref="E239:H240" si="31">SUM(E240)</f>
        <v>0</v>
      </c>
      <c r="F239" s="260">
        <f t="shared" si="31"/>
        <v>5000</v>
      </c>
      <c r="G239" s="260">
        <f t="shared" si="31"/>
        <v>5000</v>
      </c>
      <c r="H239" s="260">
        <f t="shared" si="31"/>
        <v>5000</v>
      </c>
      <c r="I239" s="312">
        <f>AVERAGE(G239/F239*100)</f>
        <v>100</v>
      </c>
      <c r="J239" s="312">
        <f>AVERAGE(H239/G239*100)</f>
        <v>100</v>
      </c>
    </row>
    <row r="240" spans="1:10" s="163" customFormat="1" ht="13.8" x14ac:dyDescent="0.25">
      <c r="A240" s="145" t="s">
        <v>308</v>
      </c>
      <c r="B240" s="143"/>
      <c r="C240" s="143">
        <v>32</v>
      </c>
      <c r="D240" s="144" t="s">
        <v>180</v>
      </c>
      <c r="E240" s="103">
        <f t="shared" si="31"/>
        <v>0</v>
      </c>
      <c r="F240" s="268">
        <f t="shared" si="31"/>
        <v>5000</v>
      </c>
      <c r="G240" s="268">
        <v>5000</v>
      </c>
      <c r="H240" s="268">
        <v>5000</v>
      </c>
      <c r="I240" s="310">
        <f t="shared" ref="I240:J242" si="32">AVERAGE(G240/F240*100)</f>
        <v>100</v>
      </c>
      <c r="J240" s="310">
        <f t="shared" si="32"/>
        <v>100</v>
      </c>
    </row>
    <row r="241" spans="1:10" s="163" customFormat="1" ht="13.8" x14ac:dyDescent="0.25">
      <c r="A241" s="145" t="s">
        <v>308</v>
      </c>
      <c r="B241" s="143"/>
      <c r="C241" s="143">
        <v>323</v>
      </c>
      <c r="D241" s="144" t="s">
        <v>117</v>
      </c>
      <c r="E241" s="103">
        <f>SUM(E242:E242)</f>
        <v>0</v>
      </c>
      <c r="F241" s="268">
        <f>SUM(F242)</f>
        <v>5000</v>
      </c>
      <c r="G241" s="268"/>
      <c r="H241" s="268"/>
      <c r="I241" s="310">
        <f t="shared" si="32"/>
        <v>0</v>
      </c>
      <c r="J241" s="310"/>
    </row>
    <row r="242" spans="1:10" s="158" customFormat="1" ht="13.8" hidden="1" x14ac:dyDescent="0.25">
      <c r="A242" s="145" t="s">
        <v>308</v>
      </c>
      <c r="B242" s="145">
        <v>62</v>
      </c>
      <c r="C242" s="145">
        <v>3237</v>
      </c>
      <c r="D242" s="146" t="s">
        <v>221</v>
      </c>
      <c r="E242" s="107">
        <v>0</v>
      </c>
      <c r="F242" s="271">
        <v>5000</v>
      </c>
      <c r="G242" s="271"/>
      <c r="H242" s="271"/>
      <c r="I242" s="310">
        <f t="shared" si="32"/>
        <v>0</v>
      </c>
      <c r="J242" s="310"/>
    </row>
    <row r="243" spans="1:10" s="158" customFormat="1" ht="14.4" thickBot="1" x14ac:dyDescent="0.3">
      <c r="A243" s="152"/>
      <c r="B243" s="152"/>
      <c r="C243" s="152"/>
      <c r="D243" s="153"/>
      <c r="E243" s="111"/>
      <c r="F243" s="273"/>
      <c r="G243" s="273"/>
      <c r="H243" s="273"/>
      <c r="I243" s="232"/>
      <c r="J243" s="232"/>
    </row>
    <row r="244" spans="1:10" s="79" customFormat="1" ht="16.2" thickBot="1" x14ac:dyDescent="0.35">
      <c r="A244" s="776" t="s">
        <v>222</v>
      </c>
      <c r="B244" s="777"/>
      <c r="C244" s="777"/>
      <c r="D244" s="777"/>
      <c r="E244" s="91">
        <f>SUM(E248)</f>
        <v>10000</v>
      </c>
      <c r="F244" s="263">
        <f>SUM(F248)</f>
        <v>5000</v>
      </c>
      <c r="G244" s="263">
        <f>SUM(G248)</f>
        <v>5000</v>
      </c>
      <c r="H244" s="263">
        <f>SUM(H248)</f>
        <v>5000</v>
      </c>
      <c r="I244" s="228">
        <f>AVERAGE(G244/F244*100)</f>
        <v>100</v>
      </c>
      <c r="J244" s="228">
        <f>AVERAGE(H244/G244*100)</f>
        <v>100</v>
      </c>
    </row>
    <row r="245" spans="1:10" s="79" customFormat="1" ht="15.6" x14ac:dyDescent="0.3">
      <c r="A245" s="80"/>
      <c r="B245" s="80"/>
      <c r="C245" s="80"/>
      <c r="D245" s="80"/>
      <c r="E245" s="179"/>
      <c r="F245" s="289"/>
      <c r="G245" s="289"/>
      <c r="H245" s="289"/>
      <c r="I245" s="227"/>
      <c r="J245" s="227"/>
    </row>
    <row r="246" spans="1:10" ht="13.8" x14ac:dyDescent="0.25">
      <c r="B246" s="1"/>
      <c r="C246" s="187"/>
      <c r="D246" s="182" t="s">
        <v>223</v>
      </c>
      <c r="E246" s="96"/>
      <c r="F246" s="265"/>
      <c r="G246" s="265"/>
      <c r="H246" s="265"/>
      <c r="I246" s="237"/>
      <c r="J246" s="237"/>
    </row>
    <row r="247" spans="1:10" ht="14.25" customHeight="1" x14ac:dyDescent="0.25">
      <c r="B247" s="1"/>
      <c r="C247" s="187"/>
      <c r="D247" s="218" t="s">
        <v>217</v>
      </c>
      <c r="E247" s="98"/>
      <c r="F247" s="266"/>
      <c r="G247" s="266"/>
      <c r="H247" s="266"/>
      <c r="I247" s="238"/>
      <c r="J247" s="238"/>
    </row>
    <row r="248" spans="1:10" s="1" customFormat="1" ht="13.8" x14ac:dyDescent="0.25">
      <c r="C248" s="187"/>
      <c r="D248" s="252" t="s">
        <v>319</v>
      </c>
      <c r="E248" s="177">
        <f t="shared" ref="E248:H250" si="33">SUM(E249)</f>
        <v>10000</v>
      </c>
      <c r="F248" s="260">
        <f t="shared" si="33"/>
        <v>5000</v>
      </c>
      <c r="G248" s="260">
        <f t="shared" si="33"/>
        <v>5000</v>
      </c>
      <c r="H248" s="260">
        <f t="shared" si="33"/>
        <v>5000</v>
      </c>
      <c r="I248" s="312">
        <f>AVERAGE(G248/F248*100)</f>
        <v>100</v>
      </c>
      <c r="J248" s="312">
        <f>AVERAGE(H248/G248*100)</f>
        <v>100</v>
      </c>
    </row>
    <row r="249" spans="1:10" s="163" customFormat="1" ht="13.8" x14ac:dyDescent="0.25">
      <c r="A249" s="105" t="s">
        <v>293</v>
      </c>
      <c r="B249" s="143"/>
      <c r="C249" s="102">
        <v>36</v>
      </c>
      <c r="D249" s="144" t="s">
        <v>218</v>
      </c>
      <c r="E249" s="103">
        <f t="shared" si="33"/>
        <v>10000</v>
      </c>
      <c r="F249" s="268">
        <f t="shared" si="33"/>
        <v>5000</v>
      </c>
      <c r="G249" s="268">
        <v>5000</v>
      </c>
      <c r="H249" s="268">
        <v>5000</v>
      </c>
      <c r="I249" s="310">
        <f t="shared" ref="I249:J251" si="34">AVERAGE(G249/F249*100)</f>
        <v>100</v>
      </c>
      <c r="J249" s="310">
        <f t="shared" si="34"/>
        <v>100</v>
      </c>
    </row>
    <row r="250" spans="1:10" s="163" customFormat="1" ht="13.8" x14ac:dyDescent="0.25">
      <c r="A250" s="105" t="s">
        <v>293</v>
      </c>
      <c r="B250" s="143"/>
      <c r="C250" s="102">
        <v>363</v>
      </c>
      <c r="D250" s="144" t="s">
        <v>139</v>
      </c>
      <c r="E250" s="103">
        <f t="shared" si="33"/>
        <v>10000</v>
      </c>
      <c r="F250" s="268">
        <f t="shared" si="33"/>
        <v>5000</v>
      </c>
      <c r="G250" s="268"/>
      <c r="H250" s="268"/>
      <c r="I250" s="310">
        <f t="shared" si="34"/>
        <v>0</v>
      </c>
      <c r="J250" s="310"/>
    </row>
    <row r="251" spans="1:10" s="158" customFormat="1" ht="13.8" hidden="1" x14ac:dyDescent="0.25">
      <c r="A251" s="105" t="s">
        <v>293</v>
      </c>
      <c r="B251" s="145">
        <v>63</v>
      </c>
      <c r="C251" s="106">
        <v>3632</v>
      </c>
      <c r="D251" s="146" t="s">
        <v>224</v>
      </c>
      <c r="E251" s="107">
        <v>10000</v>
      </c>
      <c r="F251" s="271">
        <v>5000</v>
      </c>
      <c r="G251" s="271"/>
      <c r="H251" s="271"/>
      <c r="I251" s="310">
        <f t="shared" si="34"/>
        <v>0</v>
      </c>
      <c r="J251" s="310"/>
    </row>
    <row r="252" spans="1:10" s="158" customFormat="1" ht="14.4" thickBot="1" x14ac:dyDescent="0.3">
      <c r="A252" s="152"/>
      <c r="B252" s="152"/>
      <c r="C252" s="110"/>
      <c r="D252" s="153"/>
      <c r="E252" s="111"/>
      <c r="F252" s="273"/>
      <c r="G252" s="273"/>
      <c r="H252" s="273"/>
      <c r="I252" s="232"/>
      <c r="J252" s="232"/>
    </row>
    <row r="253" spans="1:10" s="190" customFormat="1" ht="17.399999999999999" thickBot="1" x14ac:dyDescent="0.35">
      <c r="A253" s="800" t="s">
        <v>281</v>
      </c>
      <c r="B253" s="801"/>
      <c r="C253" s="801"/>
      <c r="D253" s="801"/>
      <c r="E253" s="178">
        <f>SUM(E255+E267+E302+E313)</f>
        <v>381000</v>
      </c>
      <c r="F253" s="288">
        <f>SUM(F255+F267+F302+F313)</f>
        <v>480000</v>
      </c>
      <c r="G253" s="288">
        <f>SUM(G255+G267+G302+G313)</f>
        <v>380000</v>
      </c>
      <c r="H253" s="288">
        <f>SUM(H255+H267+H302+H313)</f>
        <v>375000</v>
      </c>
      <c r="I253" s="226">
        <f>AVERAGE(G253/F253*100)</f>
        <v>79.166666666666657</v>
      </c>
      <c r="J253" s="226">
        <f>AVERAGE(H253/G253*100)</f>
        <v>98.68421052631578</v>
      </c>
    </row>
    <row r="254" spans="1:10" ht="14.4" thickBot="1" x14ac:dyDescent="0.3">
      <c r="A254" s="108"/>
      <c r="B254" s="85"/>
      <c r="C254" s="166"/>
      <c r="D254" s="191"/>
      <c r="E254" s="175"/>
      <c r="F254" s="286"/>
      <c r="G254" s="286"/>
      <c r="H254" s="286"/>
      <c r="I254" s="227"/>
      <c r="J254" s="227"/>
    </row>
    <row r="255" spans="1:10" s="79" customFormat="1" ht="16.2" thickBot="1" x14ac:dyDescent="0.35">
      <c r="A255" s="776" t="s">
        <v>225</v>
      </c>
      <c r="B255" s="777"/>
      <c r="C255" s="777"/>
      <c r="D255" s="777"/>
      <c r="E255" s="91">
        <f>SUM(E259)</f>
        <v>115000</v>
      </c>
      <c r="F255" s="263">
        <f>SUM(F259)</f>
        <v>110000</v>
      </c>
      <c r="G255" s="263">
        <f>SUM(G259)</f>
        <v>120000</v>
      </c>
      <c r="H255" s="263">
        <f>SUM(H259)</f>
        <v>120000</v>
      </c>
      <c r="I255" s="228">
        <f>AVERAGE(G255/F255*100)</f>
        <v>109.09090909090908</v>
      </c>
      <c r="J255" s="228">
        <f>AVERAGE(H255/G255*100)</f>
        <v>100</v>
      </c>
    </row>
    <row r="256" spans="1:10" ht="13.8" x14ac:dyDescent="0.25">
      <c r="A256" s="108"/>
      <c r="B256" s="1"/>
      <c r="C256" s="187"/>
      <c r="D256" s="192"/>
      <c r="E256" s="175"/>
      <c r="F256" s="286"/>
      <c r="G256" s="286"/>
      <c r="H256" s="286"/>
      <c r="I256" s="227"/>
      <c r="J256" s="227"/>
    </row>
    <row r="257" spans="1:10" s="1" customFormat="1" ht="13.8" x14ac:dyDescent="0.25">
      <c r="A257" s="104"/>
      <c r="C257" s="187"/>
      <c r="D257" s="193" t="s">
        <v>234</v>
      </c>
      <c r="E257" s="96"/>
      <c r="F257" s="265"/>
      <c r="G257" s="265"/>
      <c r="H257" s="265"/>
      <c r="I257" s="240"/>
      <c r="J257" s="240"/>
    </row>
    <row r="258" spans="1:10" s="1" customFormat="1" ht="13.8" x14ac:dyDescent="0.25">
      <c r="A258" s="104"/>
      <c r="C258" s="187"/>
      <c r="D258" s="218" t="s">
        <v>209</v>
      </c>
      <c r="E258" s="98"/>
      <c r="F258" s="293"/>
      <c r="G258" s="266"/>
      <c r="H258" s="266"/>
      <c r="I258" s="241"/>
      <c r="J258" s="241"/>
    </row>
    <row r="259" spans="1:10" s="1" customFormat="1" ht="13.8" x14ac:dyDescent="0.25">
      <c r="A259" s="104"/>
      <c r="C259" s="187"/>
      <c r="D259" s="253" t="s">
        <v>320</v>
      </c>
      <c r="E259" s="177">
        <f>SUM(E260)</f>
        <v>115000</v>
      </c>
      <c r="F259" s="260">
        <f>SUM(F260)</f>
        <v>110000</v>
      </c>
      <c r="G259" s="260">
        <f>SUM(G260)</f>
        <v>120000</v>
      </c>
      <c r="H259" s="260">
        <f>SUM(H260)</f>
        <v>120000</v>
      </c>
      <c r="I259" s="312">
        <f>AVERAGE(G259/F259*100)</f>
        <v>109.09090909090908</v>
      </c>
      <c r="J259" s="312">
        <f>AVERAGE(H259/G259*100)</f>
        <v>100</v>
      </c>
    </row>
    <row r="260" spans="1:10" s="130" customFormat="1" ht="13.8" x14ac:dyDescent="0.25">
      <c r="A260" s="131" t="s">
        <v>292</v>
      </c>
      <c r="B260" s="101"/>
      <c r="C260" s="143">
        <v>38</v>
      </c>
      <c r="D260" s="144" t="s">
        <v>80</v>
      </c>
      <c r="E260" s="103">
        <f>SUM(E261+E264)</f>
        <v>115000</v>
      </c>
      <c r="F260" s="268">
        <f>SUM(F261+F264)</f>
        <v>110000</v>
      </c>
      <c r="G260" s="268">
        <v>120000</v>
      </c>
      <c r="H260" s="268">
        <v>120000</v>
      </c>
      <c r="I260" s="310">
        <f t="shared" ref="I260:J265" si="35">AVERAGE(G260/F260*100)</f>
        <v>109.09090909090908</v>
      </c>
      <c r="J260" s="310">
        <f t="shared" si="35"/>
        <v>100</v>
      </c>
    </row>
    <row r="261" spans="1:10" s="112" customFormat="1" ht="13.8" x14ac:dyDescent="0.25">
      <c r="A261" s="131" t="s">
        <v>292</v>
      </c>
      <c r="B261" s="101"/>
      <c r="C261" s="143">
        <v>381</v>
      </c>
      <c r="D261" s="144" t="s">
        <v>37</v>
      </c>
      <c r="E261" s="103">
        <f>SUM(E262:E263)</f>
        <v>105000</v>
      </c>
      <c r="F261" s="268">
        <f>SUM(F262:F263)</f>
        <v>105000</v>
      </c>
      <c r="G261" s="268"/>
      <c r="H261" s="268"/>
      <c r="I261" s="310">
        <f t="shared" si="35"/>
        <v>0</v>
      </c>
      <c r="J261" s="310"/>
    </row>
    <row r="262" spans="1:10" s="112" customFormat="1" ht="13.8" hidden="1" x14ac:dyDescent="0.25">
      <c r="A262" s="131" t="s">
        <v>292</v>
      </c>
      <c r="B262" s="105">
        <v>64</v>
      </c>
      <c r="C262" s="145">
        <v>38115</v>
      </c>
      <c r="D262" s="146" t="s">
        <v>84</v>
      </c>
      <c r="E262" s="107">
        <v>100000</v>
      </c>
      <c r="F262" s="271">
        <v>100000</v>
      </c>
      <c r="G262" s="271"/>
      <c r="H262" s="271"/>
      <c r="I262" s="310">
        <f t="shared" si="35"/>
        <v>0</v>
      </c>
      <c r="J262" s="310"/>
    </row>
    <row r="263" spans="1:10" s="112" customFormat="1" ht="13.8" hidden="1" x14ac:dyDescent="0.25">
      <c r="A263" s="131" t="s">
        <v>292</v>
      </c>
      <c r="B263" s="105">
        <v>65</v>
      </c>
      <c r="C263" s="145">
        <v>3812</v>
      </c>
      <c r="D263" s="146" t="s">
        <v>86</v>
      </c>
      <c r="E263" s="107">
        <v>5000</v>
      </c>
      <c r="F263" s="271">
        <v>5000</v>
      </c>
      <c r="G263" s="271"/>
      <c r="H263" s="271"/>
      <c r="I263" s="310">
        <f t="shared" si="35"/>
        <v>0</v>
      </c>
      <c r="J263" s="310"/>
    </row>
    <row r="264" spans="1:10" s="112" customFormat="1" ht="13.8" x14ac:dyDescent="0.25">
      <c r="A264" s="131" t="s">
        <v>292</v>
      </c>
      <c r="B264" s="101"/>
      <c r="C264" s="143">
        <v>382</v>
      </c>
      <c r="D264" s="144" t="s">
        <v>38</v>
      </c>
      <c r="E264" s="103">
        <f>SUM(E265)</f>
        <v>10000</v>
      </c>
      <c r="F264" s="268">
        <f>SUM(F265)</f>
        <v>5000</v>
      </c>
      <c r="G264" s="268"/>
      <c r="H264" s="268"/>
      <c r="I264" s="310">
        <f t="shared" si="35"/>
        <v>0</v>
      </c>
      <c r="J264" s="310"/>
    </row>
    <row r="265" spans="1:10" s="112" customFormat="1" ht="13.8" hidden="1" x14ac:dyDescent="0.25">
      <c r="A265" s="131" t="s">
        <v>292</v>
      </c>
      <c r="B265" s="105">
        <v>66</v>
      </c>
      <c r="C265" s="145">
        <v>38215</v>
      </c>
      <c r="D265" s="146" t="s">
        <v>121</v>
      </c>
      <c r="E265" s="107">
        <v>10000</v>
      </c>
      <c r="F265" s="271">
        <v>5000</v>
      </c>
      <c r="G265" s="271"/>
      <c r="H265" s="271"/>
      <c r="I265" s="310">
        <f t="shared" si="35"/>
        <v>0</v>
      </c>
      <c r="J265" s="310"/>
    </row>
    <row r="266" spans="1:10" s="112" customFormat="1" ht="14.4" thickBot="1" x14ac:dyDescent="0.3">
      <c r="A266" s="109"/>
      <c r="B266" s="109"/>
      <c r="C266" s="152"/>
      <c r="D266" s="153"/>
      <c r="E266" s="111"/>
      <c r="F266" s="273"/>
      <c r="G266" s="273"/>
      <c r="H266" s="273"/>
      <c r="I266" s="232"/>
      <c r="J266" s="232"/>
    </row>
    <row r="267" spans="1:10" s="79" customFormat="1" ht="16.2" thickBot="1" x14ac:dyDescent="0.35">
      <c r="A267" s="776" t="s">
        <v>226</v>
      </c>
      <c r="B267" s="777"/>
      <c r="C267" s="777"/>
      <c r="D267" s="777"/>
      <c r="E267" s="91">
        <f>SUM(E271+E283+E290)</f>
        <v>130000</v>
      </c>
      <c r="F267" s="263">
        <f>SUM(F271+F283+F290)</f>
        <v>188000</v>
      </c>
      <c r="G267" s="263">
        <f>SUM(G271+G283+G290)</f>
        <v>100000</v>
      </c>
      <c r="H267" s="263">
        <f>SUM(H271+H283+H290)</f>
        <v>105000</v>
      </c>
      <c r="I267" s="228">
        <f>AVERAGE(G267/F267*100)</f>
        <v>53.191489361702125</v>
      </c>
      <c r="J267" s="228">
        <f>AVERAGE(H267/G267*100)</f>
        <v>105</v>
      </c>
    </row>
    <row r="268" spans="1:10" s="79" customFormat="1" ht="15.6" x14ac:dyDescent="0.3">
      <c r="A268" s="80"/>
      <c r="B268" s="80"/>
      <c r="C268" s="80"/>
      <c r="D268" s="80"/>
      <c r="E268" s="179"/>
      <c r="F268" s="289"/>
      <c r="G268" s="289"/>
      <c r="H268" s="289"/>
      <c r="I268" s="227"/>
      <c r="J268" s="227"/>
    </row>
    <row r="269" spans="1:10" s="1" customFormat="1" ht="13.8" x14ac:dyDescent="0.25">
      <c r="A269" s="104"/>
      <c r="C269" s="187"/>
      <c r="D269" s="193" t="s">
        <v>227</v>
      </c>
      <c r="E269" s="96"/>
      <c r="F269" s="265"/>
      <c r="G269" s="265"/>
      <c r="H269" s="265"/>
      <c r="I269" s="229"/>
      <c r="J269" s="229"/>
    </row>
    <row r="270" spans="1:10" s="1" customFormat="1" ht="13.8" x14ac:dyDescent="0.25">
      <c r="A270" s="104"/>
      <c r="C270" s="187"/>
      <c r="D270" s="218" t="s">
        <v>209</v>
      </c>
      <c r="E270" s="98"/>
      <c r="F270" s="266"/>
      <c r="G270" s="266"/>
      <c r="H270" s="266"/>
      <c r="I270" s="230"/>
      <c r="J270" s="230"/>
    </row>
    <row r="271" spans="1:10" s="1" customFormat="1" ht="13.8" x14ac:dyDescent="0.25">
      <c r="A271" s="104"/>
      <c r="C271" s="187"/>
      <c r="D271" s="253" t="s">
        <v>321</v>
      </c>
      <c r="E271" s="177">
        <f>SUM(E272+E275)</f>
        <v>30000</v>
      </c>
      <c r="F271" s="260">
        <f>SUM(F272+F275)</f>
        <v>60000</v>
      </c>
      <c r="G271" s="260">
        <f>SUM(G272+G275)</f>
        <v>70000</v>
      </c>
      <c r="H271" s="260">
        <f>SUM(H272+H275)</f>
        <v>75000</v>
      </c>
      <c r="I271" s="312">
        <f>AVERAGE(G271/F271*100)</f>
        <v>116.66666666666667</v>
      </c>
      <c r="J271" s="312">
        <f>AVERAGE(H271/G271*100)</f>
        <v>107.14285714285714</v>
      </c>
    </row>
    <row r="272" spans="1:10" s="130" customFormat="1" ht="13.8" x14ac:dyDescent="0.25">
      <c r="A272" s="105" t="s">
        <v>293</v>
      </c>
      <c r="B272" s="101"/>
      <c r="C272" s="143">
        <v>32</v>
      </c>
      <c r="D272" s="101" t="s">
        <v>180</v>
      </c>
      <c r="E272" s="103">
        <f>SUM(E273)</f>
        <v>0</v>
      </c>
      <c r="F272" s="268">
        <f>SUM(F273)</f>
        <v>10000</v>
      </c>
      <c r="G272" s="268">
        <v>15000</v>
      </c>
      <c r="H272" s="268">
        <v>15000</v>
      </c>
      <c r="I272" s="310">
        <f t="shared" ref="I272:J279" si="36">AVERAGE(G272/F272*100)</f>
        <v>150</v>
      </c>
      <c r="J272" s="310">
        <f t="shared" si="36"/>
        <v>100</v>
      </c>
    </row>
    <row r="273" spans="1:10" s="112" customFormat="1" ht="13.8" x14ac:dyDescent="0.25">
      <c r="A273" s="105" t="s">
        <v>293</v>
      </c>
      <c r="B273" s="101"/>
      <c r="C273" s="143">
        <v>329</v>
      </c>
      <c r="D273" s="101" t="s">
        <v>65</v>
      </c>
      <c r="E273" s="103">
        <f>SUM(E274)</f>
        <v>0</v>
      </c>
      <c r="F273" s="268">
        <f>SUM(F274)</f>
        <v>10000</v>
      </c>
      <c r="G273" s="268"/>
      <c r="H273" s="268"/>
      <c r="I273" s="310">
        <f t="shared" si="36"/>
        <v>0</v>
      </c>
      <c r="J273" s="310"/>
    </row>
    <row r="274" spans="1:10" s="112" customFormat="1" ht="13.8" hidden="1" x14ac:dyDescent="0.25">
      <c r="A274" s="105" t="s">
        <v>293</v>
      </c>
      <c r="B274" s="105">
        <v>67</v>
      </c>
      <c r="C274" s="145">
        <v>3293</v>
      </c>
      <c r="D274" s="105" t="s">
        <v>68</v>
      </c>
      <c r="E274" s="107">
        <v>0</v>
      </c>
      <c r="F274" s="271">
        <v>10000</v>
      </c>
      <c r="G274" s="271"/>
      <c r="H274" s="271"/>
      <c r="I274" s="310">
        <f t="shared" si="36"/>
        <v>0</v>
      </c>
      <c r="J274" s="310"/>
    </row>
    <row r="275" spans="1:10" s="130" customFormat="1" ht="13.8" x14ac:dyDescent="0.25">
      <c r="A275" s="105" t="s">
        <v>293</v>
      </c>
      <c r="B275" s="101"/>
      <c r="C275" s="143">
        <v>38</v>
      </c>
      <c r="D275" s="144" t="s">
        <v>80</v>
      </c>
      <c r="E275" s="103">
        <f>SUM(E276+E278)</f>
        <v>30000</v>
      </c>
      <c r="F275" s="268">
        <f>SUM(F276+F278)</f>
        <v>50000</v>
      </c>
      <c r="G275" s="268">
        <v>55000</v>
      </c>
      <c r="H275" s="268">
        <v>60000</v>
      </c>
      <c r="I275" s="310">
        <f t="shared" si="36"/>
        <v>110.00000000000001</v>
      </c>
      <c r="J275" s="310">
        <f t="shared" si="36"/>
        <v>109.09090909090908</v>
      </c>
    </row>
    <row r="276" spans="1:10" s="112" customFormat="1" ht="13.8" x14ac:dyDescent="0.25">
      <c r="A276" s="105" t="s">
        <v>293</v>
      </c>
      <c r="B276" s="101"/>
      <c r="C276" s="143">
        <v>381</v>
      </c>
      <c r="D276" s="144" t="s">
        <v>37</v>
      </c>
      <c r="E276" s="103">
        <f>SUM(E277:E277)</f>
        <v>0</v>
      </c>
      <c r="F276" s="268">
        <f>SUM(F277)</f>
        <v>40000</v>
      </c>
      <c r="G276" s="268"/>
      <c r="H276" s="268"/>
      <c r="I276" s="310">
        <f t="shared" si="36"/>
        <v>0</v>
      </c>
      <c r="J276" s="310"/>
    </row>
    <row r="277" spans="1:10" s="112" customFormat="1" ht="13.8" hidden="1" x14ac:dyDescent="0.25">
      <c r="A277" s="105" t="s">
        <v>293</v>
      </c>
      <c r="B277" s="105">
        <v>68</v>
      </c>
      <c r="C277" s="145">
        <v>3811</v>
      </c>
      <c r="D277" s="146" t="s">
        <v>81</v>
      </c>
      <c r="E277" s="107">
        <v>0</v>
      </c>
      <c r="F277" s="271">
        <v>40000</v>
      </c>
      <c r="G277" s="271"/>
      <c r="H277" s="271"/>
      <c r="I277" s="310">
        <f t="shared" si="36"/>
        <v>0</v>
      </c>
      <c r="J277" s="310"/>
    </row>
    <row r="278" spans="1:10" s="112" customFormat="1" ht="13.8" x14ac:dyDescent="0.25">
      <c r="A278" s="105" t="s">
        <v>293</v>
      </c>
      <c r="B278" s="101"/>
      <c r="C278" s="143">
        <v>382</v>
      </c>
      <c r="D278" s="144" t="s">
        <v>38</v>
      </c>
      <c r="E278" s="103">
        <f>SUM(E279:E279)</f>
        <v>30000</v>
      </c>
      <c r="F278" s="268">
        <f>SUM(F279:F279)</f>
        <v>10000</v>
      </c>
      <c r="G278" s="268"/>
      <c r="H278" s="268"/>
      <c r="I278" s="231">
        <f t="shared" si="36"/>
        <v>0</v>
      </c>
      <c r="J278" s="231"/>
    </row>
    <row r="279" spans="1:10" s="112" customFormat="1" ht="13.8" hidden="1" x14ac:dyDescent="0.25">
      <c r="A279" s="105" t="s">
        <v>293</v>
      </c>
      <c r="B279" s="105">
        <v>69</v>
      </c>
      <c r="C279" s="145">
        <v>38219</v>
      </c>
      <c r="D279" s="146" t="s">
        <v>229</v>
      </c>
      <c r="E279" s="107">
        <v>30000</v>
      </c>
      <c r="F279" s="271">
        <v>10000</v>
      </c>
      <c r="G279" s="271"/>
      <c r="H279" s="271"/>
      <c r="I279" s="231">
        <f t="shared" si="36"/>
        <v>0</v>
      </c>
      <c r="J279" s="231"/>
    </row>
    <row r="280" spans="1:10" s="112" customFormat="1" ht="13.8" x14ac:dyDescent="0.25">
      <c r="A280" s="109"/>
      <c r="B280" s="109"/>
      <c r="C280" s="152"/>
      <c r="D280" s="316"/>
      <c r="E280" s="317"/>
      <c r="F280" s="318"/>
      <c r="G280" s="318"/>
      <c r="H280" s="318"/>
      <c r="I280" s="319"/>
      <c r="J280" s="319"/>
    </row>
    <row r="281" spans="1:10" s="112" customFormat="1" ht="13.8" x14ac:dyDescent="0.25">
      <c r="A281" s="104"/>
      <c r="B281" s="104"/>
      <c r="C281" s="104"/>
      <c r="D281" s="193" t="s">
        <v>227</v>
      </c>
      <c r="E281" s="121"/>
      <c r="F281" s="266"/>
      <c r="G281" s="266"/>
      <c r="H281" s="266"/>
      <c r="I281" s="230"/>
      <c r="J281" s="230"/>
    </row>
    <row r="282" spans="1:10" s="112" customFormat="1" ht="13.8" x14ac:dyDescent="0.25">
      <c r="A282" s="104"/>
      <c r="B282" s="104"/>
      <c r="C282" s="104"/>
      <c r="D282" s="218" t="s">
        <v>209</v>
      </c>
      <c r="E282" s="121"/>
      <c r="F282" s="266"/>
      <c r="G282" s="266"/>
      <c r="H282" s="266"/>
      <c r="I282" s="230"/>
      <c r="J282" s="230"/>
    </row>
    <row r="283" spans="1:10" s="1" customFormat="1" ht="13.8" x14ac:dyDescent="0.25">
      <c r="A283" s="156"/>
      <c r="B283" s="156"/>
      <c r="C283" s="156"/>
      <c r="D283" s="252" t="s">
        <v>322</v>
      </c>
      <c r="E283" s="157">
        <f t="shared" ref="E283:H285" si="37">SUM(E284)</f>
        <v>100000</v>
      </c>
      <c r="F283" s="267">
        <f t="shared" si="37"/>
        <v>100000</v>
      </c>
      <c r="G283" s="267">
        <f t="shared" si="37"/>
        <v>0</v>
      </c>
      <c r="H283" s="267">
        <f t="shared" si="37"/>
        <v>0</v>
      </c>
      <c r="I283" s="312">
        <f>AVERAGE(G283/F283*100)</f>
        <v>0</v>
      </c>
      <c r="J283" s="312">
        <v>0</v>
      </c>
    </row>
    <row r="284" spans="1:10" s="1" customFormat="1" x14ac:dyDescent="0.25">
      <c r="A284" s="105" t="s">
        <v>311</v>
      </c>
      <c r="B284" s="101"/>
      <c r="C284" s="143">
        <v>42</v>
      </c>
      <c r="D284" s="144" t="s">
        <v>96</v>
      </c>
      <c r="E284" s="103">
        <f t="shared" si="37"/>
        <v>100000</v>
      </c>
      <c r="F284" s="268">
        <f t="shared" si="37"/>
        <v>100000</v>
      </c>
      <c r="G284" s="268">
        <f t="shared" si="37"/>
        <v>0</v>
      </c>
      <c r="H284" s="268">
        <f t="shared" si="37"/>
        <v>0</v>
      </c>
      <c r="I284" s="310">
        <f>AVERAGE(G284/F284*100)</f>
        <v>0</v>
      </c>
      <c r="J284" s="310"/>
    </row>
    <row r="285" spans="1:10" s="1" customFormat="1" x14ac:dyDescent="0.25">
      <c r="A285" s="105" t="s">
        <v>311</v>
      </c>
      <c r="B285" s="101"/>
      <c r="C285" s="143">
        <v>426</v>
      </c>
      <c r="D285" s="144" t="s">
        <v>117</v>
      </c>
      <c r="E285" s="103">
        <f t="shared" si="37"/>
        <v>100000</v>
      </c>
      <c r="F285" s="268">
        <f t="shared" si="37"/>
        <v>100000</v>
      </c>
      <c r="G285" s="268"/>
      <c r="H285" s="268"/>
      <c r="I285" s="310">
        <f>AVERAGE(G285/F285*100)</f>
        <v>0</v>
      </c>
      <c r="J285" s="310"/>
    </row>
    <row r="286" spans="1:10" s="1" customFormat="1" ht="15" hidden="1" customHeight="1" x14ac:dyDescent="0.25">
      <c r="A286" s="105" t="s">
        <v>311</v>
      </c>
      <c r="B286" s="105">
        <v>70</v>
      </c>
      <c r="C286" s="145">
        <v>4263</v>
      </c>
      <c r="D286" s="146" t="s">
        <v>264</v>
      </c>
      <c r="E286" s="107">
        <v>100000</v>
      </c>
      <c r="F286" s="271">
        <v>100000</v>
      </c>
      <c r="G286" s="271"/>
      <c r="H286" s="271"/>
      <c r="I286" s="310">
        <f>AVERAGE(G286/F286*100)</f>
        <v>0</v>
      </c>
      <c r="J286" s="310"/>
    </row>
    <row r="287" spans="1:10" s="112" customFormat="1" ht="13.8" x14ac:dyDescent="0.25">
      <c r="A287" s="109"/>
      <c r="B287" s="109"/>
      <c r="C287" s="152"/>
      <c r="D287" s="153"/>
      <c r="E287" s="111"/>
      <c r="F287" s="273"/>
      <c r="G287" s="273"/>
      <c r="H287" s="273"/>
      <c r="I287" s="232"/>
      <c r="J287" s="232"/>
    </row>
    <row r="288" spans="1:10" s="1" customFormat="1" ht="13.8" x14ac:dyDescent="0.25">
      <c r="A288" s="104"/>
      <c r="C288" s="187"/>
      <c r="D288" s="193" t="s">
        <v>227</v>
      </c>
      <c r="E288" s="96"/>
      <c r="F288" s="265"/>
      <c r="G288" s="265"/>
      <c r="H288" s="265"/>
      <c r="I288" s="229"/>
      <c r="J288" s="229"/>
    </row>
    <row r="289" spans="1:10" s="1" customFormat="1" ht="13.8" x14ac:dyDescent="0.25">
      <c r="A289" s="104"/>
      <c r="C289" s="187"/>
      <c r="D289" s="218" t="s">
        <v>230</v>
      </c>
      <c r="E289" s="98"/>
      <c r="F289" s="266"/>
      <c r="G289" s="266"/>
      <c r="H289" s="266"/>
      <c r="I289" s="230"/>
      <c r="J289" s="230"/>
    </row>
    <row r="290" spans="1:10" s="1" customFormat="1" ht="13.8" x14ac:dyDescent="0.25">
      <c r="A290" s="104"/>
      <c r="C290" s="187"/>
      <c r="D290" s="252" t="s">
        <v>323</v>
      </c>
      <c r="E290" s="177">
        <f>SUM(E291+E298)</f>
        <v>0</v>
      </c>
      <c r="F290" s="260">
        <f>SUM(F291+F298)</f>
        <v>28000</v>
      </c>
      <c r="G290" s="260">
        <f>SUM(G291+G298)</f>
        <v>30000</v>
      </c>
      <c r="H290" s="260">
        <f>SUM(H291+H298)</f>
        <v>30000</v>
      </c>
      <c r="I290" s="312">
        <f>AVERAGE(G290/F290*100)</f>
        <v>107.14285714285714</v>
      </c>
      <c r="J290" s="312">
        <f>AVERAGE(H290/G290*100)</f>
        <v>100</v>
      </c>
    </row>
    <row r="291" spans="1:10" s="130" customFormat="1" ht="13.8" x14ac:dyDescent="0.25">
      <c r="A291" s="105" t="s">
        <v>312</v>
      </c>
      <c r="B291" s="101"/>
      <c r="C291" s="143">
        <v>32</v>
      </c>
      <c r="D291" s="144" t="s">
        <v>180</v>
      </c>
      <c r="E291" s="103">
        <f>SUM(E292+E295)</f>
        <v>0</v>
      </c>
      <c r="F291" s="268">
        <f>SUM(F292+F295)</f>
        <v>24000</v>
      </c>
      <c r="G291" s="268">
        <v>25000</v>
      </c>
      <c r="H291" s="268">
        <v>25000</v>
      </c>
      <c r="I291" s="310">
        <f t="shared" ref="I291:J300" si="38">AVERAGE(G291/F291*100)</f>
        <v>104.16666666666667</v>
      </c>
      <c r="J291" s="310">
        <f t="shared" si="38"/>
        <v>100</v>
      </c>
    </row>
    <row r="292" spans="1:10" s="130" customFormat="1" ht="13.8" x14ac:dyDescent="0.25">
      <c r="A292" s="105" t="s">
        <v>312</v>
      </c>
      <c r="B292" s="101"/>
      <c r="C292" s="143">
        <v>323</v>
      </c>
      <c r="D292" s="144" t="s">
        <v>56</v>
      </c>
      <c r="E292" s="103">
        <f>SUM(E293:E294)</f>
        <v>0</v>
      </c>
      <c r="F292" s="268">
        <f>SUM(F293:F294)</f>
        <v>7000</v>
      </c>
      <c r="G292" s="268"/>
      <c r="H292" s="268"/>
      <c r="I292" s="310">
        <f t="shared" si="38"/>
        <v>0</v>
      </c>
      <c r="J292" s="310"/>
    </row>
    <row r="293" spans="1:10" s="112" customFormat="1" ht="13.8" hidden="1" x14ac:dyDescent="0.25">
      <c r="A293" s="105" t="s">
        <v>312</v>
      </c>
      <c r="B293" s="105">
        <v>71</v>
      </c>
      <c r="C293" s="145">
        <v>3233</v>
      </c>
      <c r="D293" s="146" t="s">
        <v>59</v>
      </c>
      <c r="E293" s="107">
        <v>0</v>
      </c>
      <c r="F293" s="271">
        <v>5000</v>
      </c>
      <c r="G293" s="271"/>
      <c r="H293" s="271"/>
      <c r="I293" s="310">
        <f t="shared" si="38"/>
        <v>0</v>
      </c>
      <c r="J293" s="310"/>
    </row>
    <row r="294" spans="1:10" s="112" customFormat="1" ht="13.8" hidden="1" x14ac:dyDescent="0.25">
      <c r="A294" s="105" t="s">
        <v>312</v>
      </c>
      <c r="B294" s="105">
        <v>72</v>
      </c>
      <c r="C294" s="145">
        <v>3239</v>
      </c>
      <c r="D294" s="146" t="s">
        <v>64</v>
      </c>
      <c r="E294" s="107">
        <v>0</v>
      </c>
      <c r="F294" s="271">
        <v>2000</v>
      </c>
      <c r="G294" s="271"/>
      <c r="H294" s="271"/>
      <c r="I294" s="310">
        <f t="shared" si="38"/>
        <v>0</v>
      </c>
      <c r="J294" s="310"/>
    </row>
    <row r="295" spans="1:10" s="130" customFormat="1" ht="13.8" x14ac:dyDescent="0.25">
      <c r="A295" s="105" t="s">
        <v>312</v>
      </c>
      <c r="B295" s="101"/>
      <c r="C295" s="143">
        <v>329</v>
      </c>
      <c r="D295" s="144" t="s">
        <v>65</v>
      </c>
      <c r="E295" s="103">
        <f>SUM(E296:E297)</f>
        <v>0</v>
      </c>
      <c r="F295" s="268">
        <f>SUM(F296:F297)</f>
        <v>17000</v>
      </c>
      <c r="G295" s="268"/>
      <c r="H295" s="268"/>
      <c r="I295" s="310">
        <f t="shared" si="38"/>
        <v>0</v>
      </c>
      <c r="J295" s="310"/>
    </row>
    <row r="296" spans="1:10" s="112" customFormat="1" ht="13.8" hidden="1" x14ac:dyDescent="0.25">
      <c r="A296" s="105" t="s">
        <v>312</v>
      </c>
      <c r="B296" s="105">
        <v>73</v>
      </c>
      <c r="C296" s="145">
        <v>3293</v>
      </c>
      <c r="D296" s="146" t="s">
        <v>68</v>
      </c>
      <c r="E296" s="107">
        <v>0</v>
      </c>
      <c r="F296" s="271">
        <v>15000</v>
      </c>
      <c r="G296" s="271"/>
      <c r="H296" s="271"/>
      <c r="I296" s="310">
        <f t="shared" si="38"/>
        <v>0</v>
      </c>
      <c r="J296" s="310"/>
    </row>
    <row r="297" spans="1:10" s="112" customFormat="1" ht="13.8" hidden="1" x14ac:dyDescent="0.25">
      <c r="A297" s="105" t="s">
        <v>312</v>
      </c>
      <c r="B297" s="105">
        <v>74</v>
      </c>
      <c r="C297" s="145">
        <v>3299</v>
      </c>
      <c r="D297" s="146" t="s">
        <v>231</v>
      </c>
      <c r="E297" s="107">
        <v>0</v>
      </c>
      <c r="F297" s="271">
        <v>2000</v>
      </c>
      <c r="G297" s="271"/>
      <c r="H297" s="271"/>
      <c r="I297" s="310">
        <f t="shared" si="38"/>
        <v>0</v>
      </c>
      <c r="J297" s="310"/>
    </row>
    <row r="298" spans="1:10" s="130" customFormat="1" ht="13.8" x14ac:dyDescent="0.25">
      <c r="A298" s="105" t="s">
        <v>312</v>
      </c>
      <c r="B298" s="101"/>
      <c r="C298" s="143">
        <v>38</v>
      </c>
      <c r="D298" s="144" t="s">
        <v>232</v>
      </c>
      <c r="E298" s="103">
        <f>SUM(E299)</f>
        <v>0</v>
      </c>
      <c r="F298" s="268">
        <f>SUM(F299)</f>
        <v>4000</v>
      </c>
      <c r="G298" s="268">
        <v>5000</v>
      </c>
      <c r="H298" s="268">
        <v>5000</v>
      </c>
      <c r="I298" s="310">
        <f t="shared" si="38"/>
        <v>125</v>
      </c>
      <c r="J298" s="310">
        <f t="shared" si="38"/>
        <v>100</v>
      </c>
    </row>
    <row r="299" spans="1:10" s="112" customFormat="1" ht="13.8" x14ac:dyDescent="0.25">
      <c r="A299" s="105" t="s">
        <v>312</v>
      </c>
      <c r="B299" s="101"/>
      <c r="C299" s="143">
        <v>381</v>
      </c>
      <c r="D299" s="144" t="s">
        <v>37</v>
      </c>
      <c r="E299" s="103">
        <f>SUM(E300)</f>
        <v>0</v>
      </c>
      <c r="F299" s="268">
        <f>SUM(F300)</f>
        <v>4000</v>
      </c>
      <c r="G299" s="268"/>
      <c r="H299" s="268"/>
      <c r="I299" s="310">
        <f t="shared" si="38"/>
        <v>0</v>
      </c>
      <c r="J299" s="310"/>
    </row>
    <row r="300" spans="1:10" s="112" customFormat="1" ht="13.8" hidden="1" x14ac:dyDescent="0.25">
      <c r="A300" s="105" t="s">
        <v>312</v>
      </c>
      <c r="B300" s="105">
        <v>75</v>
      </c>
      <c r="C300" s="145">
        <v>3811</v>
      </c>
      <c r="D300" s="146" t="s">
        <v>85</v>
      </c>
      <c r="E300" s="107">
        <v>0</v>
      </c>
      <c r="F300" s="271">
        <v>4000</v>
      </c>
      <c r="G300" s="271"/>
      <c r="H300" s="271"/>
      <c r="I300" s="310">
        <f t="shared" si="38"/>
        <v>0</v>
      </c>
      <c r="J300" s="310"/>
    </row>
    <row r="301" spans="1:10" s="170" customFormat="1" ht="13.8" thickBot="1" x14ac:dyDescent="0.3">
      <c r="A301" s="166"/>
      <c r="B301" s="85"/>
      <c r="C301" s="166"/>
      <c r="D301" s="85"/>
      <c r="E301" s="166"/>
      <c r="F301" s="284"/>
      <c r="G301" s="284"/>
      <c r="H301" s="284"/>
      <c r="I301" s="235"/>
      <c r="J301" s="235"/>
    </row>
    <row r="302" spans="1:10" s="79" customFormat="1" ht="16.2" thickBot="1" x14ac:dyDescent="0.35">
      <c r="A302" s="778" t="s">
        <v>233</v>
      </c>
      <c r="B302" s="779"/>
      <c r="C302" s="779"/>
      <c r="D302" s="779"/>
      <c r="E302" s="91">
        <f>SUM(E306)</f>
        <v>52000</v>
      </c>
      <c r="F302" s="263">
        <f>SUM(F306)</f>
        <v>102000</v>
      </c>
      <c r="G302" s="263">
        <f>SUM(G306)</f>
        <v>80000</v>
      </c>
      <c r="H302" s="263">
        <f>SUM(H306)</f>
        <v>70000</v>
      </c>
      <c r="I302" s="228">
        <f>AVERAGE(G302/F302*100)</f>
        <v>78.431372549019613</v>
      </c>
      <c r="J302" s="228">
        <f>AVERAGE(H302/G302*100)</f>
        <v>87.5</v>
      </c>
    </row>
    <row r="303" spans="1:10" s="79" customFormat="1" ht="15.6" x14ac:dyDescent="0.3">
      <c r="A303" s="194"/>
      <c r="B303" s="194"/>
      <c r="C303" s="194"/>
      <c r="D303" s="194"/>
      <c r="E303" s="179"/>
      <c r="F303" s="289"/>
      <c r="G303" s="289"/>
      <c r="H303" s="289"/>
      <c r="I303" s="227"/>
      <c r="J303" s="227"/>
    </row>
    <row r="304" spans="1:10" s="1" customFormat="1" ht="13.8" x14ac:dyDescent="0.25">
      <c r="A304" s="104"/>
      <c r="C304" s="187"/>
      <c r="D304" s="193" t="s">
        <v>234</v>
      </c>
      <c r="E304" s="96"/>
      <c r="F304" s="265"/>
      <c r="G304" s="265"/>
      <c r="H304" s="265"/>
      <c r="I304" s="229"/>
      <c r="J304" s="229"/>
    </row>
    <row r="305" spans="1:10" s="1" customFormat="1" ht="13.8" x14ac:dyDescent="0.25">
      <c r="A305" s="104"/>
      <c r="C305" s="187"/>
      <c r="D305" s="218" t="s">
        <v>209</v>
      </c>
      <c r="E305" s="98"/>
      <c r="F305" s="266"/>
      <c r="G305" s="266"/>
      <c r="H305" s="266"/>
      <c r="I305" s="230"/>
      <c r="J305" s="230"/>
    </row>
    <row r="306" spans="1:10" s="1" customFormat="1" ht="13.8" x14ac:dyDescent="0.25">
      <c r="A306" s="104"/>
      <c r="C306" s="187"/>
      <c r="D306" s="253" t="s">
        <v>324</v>
      </c>
      <c r="E306" s="177">
        <f>SUM(E307)</f>
        <v>52000</v>
      </c>
      <c r="F306" s="260">
        <f>SUM(F307)</f>
        <v>102000</v>
      </c>
      <c r="G306" s="260">
        <f>SUM(G307)</f>
        <v>80000</v>
      </c>
      <c r="H306" s="260">
        <f>SUM(H307)</f>
        <v>70000</v>
      </c>
      <c r="I306" s="312">
        <f>AVERAGE(G306/F306*100)</f>
        <v>78.431372549019613</v>
      </c>
      <c r="J306" s="312">
        <f>AVERAGE(H306/G306*100)</f>
        <v>87.5</v>
      </c>
    </row>
    <row r="307" spans="1:10" s="130" customFormat="1" ht="13.8" x14ac:dyDescent="0.25">
      <c r="A307" s="105" t="s">
        <v>313</v>
      </c>
      <c r="B307" s="101"/>
      <c r="C307" s="143">
        <v>38</v>
      </c>
      <c r="D307" s="144" t="s">
        <v>80</v>
      </c>
      <c r="E307" s="103">
        <f>SUM(E308+E310)</f>
        <v>52000</v>
      </c>
      <c r="F307" s="268">
        <f>SUM(F308+F310)</f>
        <v>102000</v>
      </c>
      <c r="G307" s="268">
        <v>80000</v>
      </c>
      <c r="H307" s="268">
        <v>70000</v>
      </c>
      <c r="I307" s="310">
        <f t="shared" ref="I307:J311" si="39">AVERAGE(G307/F307*100)</f>
        <v>78.431372549019613</v>
      </c>
      <c r="J307" s="310">
        <f t="shared" si="39"/>
        <v>87.5</v>
      </c>
    </row>
    <row r="308" spans="1:10" s="112" customFormat="1" ht="13.8" x14ac:dyDescent="0.25">
      <c r="A308" s="105" t="s">
        <v>313</v>
      </c>
      <c r="B308" s="101"/>
      <c r="C308" s="143">
        <v>381</v>
      </c>
      <c r="D308" s="144" t="s">
        <v>37</v>
      </c>
      <c r="E308" s="103">
        <f>SUM(E309)</f>
        <v>2000</v>
      </c>
      <c r="F308" s="268">
        <f>SUM(F309)</f>
        <v>2000</v>
      </c>
      <c r="G308" s="268"/>
      <c r="H308" s="268"/>
      <c r="I308" s="310">
        <f t="shared" si="39"/>
        <v>0</v>
      </c>
      <c r="J308" s="310"/>
    </row>
    <row r="309" spans="1:10" s="112" customFormat="1" ht="13.8" hidden="1" x14ac:dyDescent="0.25">
      <c r="A309" s="105" t="s">
        <v>313</v>
      </c>
      <c r="B309" s="105">
        <v>76</v>
      </c>
      <c r="C309" s="145">
        <v>38112</v>
      </c>
      <c r="D309" s="146" t="s">
        <v>82</v>
      </c>
      <c r="E309" s="107">
        <v>2000</v>
      </c>
      <c r="F309" s="271">
        <v>2000</v>
      </c>
      <c r="G309" s="271"/>
      <c r="H309" s="271"/>
      <c r="I309" s="310">
        <f t="shared" si="39"/>
        <v>0</v>
      </c>
      <c r="J309" s="310"/>
    </row>
    <row r="310" spans="1:10" s="130" customFormat="1" ht="13.8" x14ac:dyDescent="0.25">
      <c r="A310" s="105" t="s">
        <v>313</v>
      </c>
      <c r="B310" s="101"/>
      <c r="C310" s="143">
        <v>382</v>
      </c>
      <c r="D310" s="144" t="s">
        <v>38</v>
      </c>
      <c r="E310" s="103">
        <f>SUM(E311)</f>
        <v>50000</v>
      </c>
      <c r="F310" s="268">
        <f>SUM(F311)</f>
        <v>100000</v>
      </c>
      <c r="G310" s="268"/>
      <c r="H310" s="268"/>
      <c r="I310" s="310">
        <f t="shared" si="39"/>
        <v>0</v>
      </c>
      <c r="J310" s="310"/>
    </row>
    <row r="311" spans="1:10" s="112" customFormat="1" ht="13.8" hidden="1" x14ac:dyDescent="0.25">
      <c r="A311" s="105" t="s">
        <v>313</v>
      </c>
      <c r="B311" s="105">
        <v>77</v>
      </c>
      <c r="C311" s="145">
        <v>38212</v>
      </c>
      <c r="D311" s="146" t="s">
        <v>235</v>
      </c>
      <c r="E311" s="107">
        <v>50000</v>
      </c>
      <c r="F311" s="271">
        <v>100000</v>
      </c>
      <c r="G311" s="271"/>
      <c r="H311" s="271"/>
      <c r="I311" s="310">
        <f t="shared" si="39"/>
        <v>0</v>
      </c>
      <c r="J311" s="310"/>
    </row>
    <row r="312" spans="1:10" s="112" customFormat="1" ht="14.4" thickBot="1" x14ac:dyDescent="0.3">
      <c r="A312" s="109"/>
      <c r="B312" s="109"/>
      <c r="C312" s="152"/>
      <c r="D312" s="153"/>
      <c r="E312" s="111"/>
      <c r="F312" s="273"/>
      <c r="G312" s="273"/>
      <c r="H312" s="273"/>
      <c r="I312" s="232"/>
      <c r="J312" s="232"/>
    </row>
    <row r="313" spans="1:10" s="79" customFormat="1" ht="16.2" thickBot="1" x14ac:dyDescent="0.35">
      <c r="A313" s="778" t="s">
        <v>236</v>
      </c>
      <c r="B313" s="779"/>
      <c r="C313" s="779"/>
      <c r="D313" s="779"/>
      <c r="E313" s="91">
        <f>SUM(E317)</f>
        <v>84000</v>
      </c>
      <c r="F313" s="263">
        <f>SUM(F317)</f>
        <v>80000</v>
      </c>
      <c r="G313" s="263">
        <f>SUM(G317)</f>
        <v>80000</v>
      </c>
      <c r="H313" s="263">
        <f>SUM(H317)</f>
        <v>80000</v>
      </c>
      <c r="I313" s="228">
        <f>AVERAGE(G313/F313*100)</f>
        <v>100</v>
      </c>
      <c r="J313" s="228">
        <f>AVERAGE(H313/G313*100)</f>
        <v>100</v>
      </c>
    </row>
    <row r="314" spans="1:10" s="79" customFormat="1" ht="15.6" x14ac:dyDescent="0.3">
      <c r="A314" s="194"/>
      <c r="B314" s="194"/>
      <c r="C314" s="194"/>
      <c r="D314" s="194"/>
      <c r="E314" s="179"/>
      <c r="F314" s="289"/>
      <c r="G314" s="289"/>
      <c r="H314" s="289"/>
      <c r="I314" s="227"/>
      <c r="J314" s="227"/>
    </row>
    <row r="315" spans="1:10" s="1" customFormat="1" ht="13.8" x14ac:dyDescent="0.25">
      <c r="C315" s="187"/>
      <c r="D315" s="182" t="s">
        <v>178</v>
      </c>
      <c r="E315" s="96"/>
      <c r="F315" s="265"/>
      <c r="G315" s="265"/>
      <c r="H315" s="265"/>
      <c r="I315" s="237"/>
      <c r="J315" s="237"/>
    </row>
    <row r="316" spans="1:10" s="1" customFormat="1" x14ac:dyDescent="0.25">
      <c r="C316" s="187"/>
      <c r="D316" s="218" t="s">
        <v>197</v>
      </c>
      <c r="E316" s="195"/>
      <c r="F316" s="294"/>
      <c r="G316" s="294"/>
      <c r="H316" s="294"/>
      <c r="I316" s="238"/>
      <c r="J316" s="238"/>
    </row>
    <row r="317" spans="1:10" s="1" customFormat="1" ht="13.8" x14ac:dyDescent="0.25">
      <c r="B317" s="2"/>
      <c r="C317" s="187"/>
      <c r="D317" s="252" t="s">
        <v>325</v>
      </c>
      <c r="E317" s="177">
        <f>SUM(E318)</f>
        <v>84000</v>
      </c>
      <c r="F317" s="260">
        <f>SUM(F318)</f>
        <v>80000</v>
      </c>
      <c r="G317" s="260">
        <f>SUM(G318)</f>
        <v>80000</v>
      </c>
      <c r="H317" s="260">
        <f>SUM(H318)</f>
        <v>80000</v>
      </c>
      <c r="I317" s="312">
        <f>AVERAGE(G317/F317*100)</f>
        <v>100</v>
      </c>
      <c r="J317" s="312">
        <f>AVERAGE(H317/G317*100)</f>
        <v>100</v>
      </c>
    </row>
    <row r="318" spans="1:10" s="130" customFormat="1" ht="13.8" x14ac:dyDescent="0.25">
      <c r="A318" s="105" t="s">
        <v>347</v>
      </c>
      <c r="B318" s="101"/>
      <c r="C318" s="143">
        <v>38</v>
      </c>
      <c r="D318" s="144" t="s">
        <v>80</v>
      </c>
      <c r="E318" s="103">
        <f>SUM(E319+E322)</f>
        <v>84000</v>
      </c>
      <c r="F318" s="268">
        <f>SUM(F319+F322)</f>
        <v>80000</v>
      </c>
      <c r="G318" s="268">
        <v>80000</v>
      </c>
      <c r="H318" s="268">
        <v>80000</v>
      </c>
      <c r="I318" s="310">
        <f t="shared" ref="I318:J323" si="40">AVERAGE(G318/F318*100)</f>
        <v>100</v>
      </c>
      <c r="J318" s="310">
        <f t="shared" si="40"/>
        <v>100</v>
      </c>
    </row>
    <row r="319" spans="1:10" s="112" customFormat="1" ht="13.8" x14ac:dyDescent="0.25">
      <c r="A319" s="105" t="s">
        <v>347</v>
      </c>
      <c r="B319" s="101"/>
      <c r="C319" s="143">
        <v>381</v>
      </c>
      <c r="D319" s="144" t="s">
        <v>37</v>
      </c>
      <c r="E319" s="103">
        <f>SUM(E320:E321)</f>
        <v>74000</v>
      </c>
      <c r="F319" s="268">
        <f>SUM(F320:F321)</f>
        <v>75000</v>
      </c>
      <c r="G319" s="268"/>
      <c r="H319" s="268"/>
      <c r="I319" s="310">
        <f t="shared" si="40"/>
        <v>0</v>
      </c>
      <c r="J319" s="310"/>
    </row>
    <row r="320" spans="1:10" s="112" customFormat="1" ht="13.8" hidden="1" x14ac:dyDescent="0.25">
      <c r="A320" s="105" t="s">
        <v>347</v>
      </c>
      <c r="B320" s="105">
        <v>78</v>
      </c>
      <c r="C320" s="145">
        <v>381141</v>
      </c>
      <c r="D320" s="146" t="s">
        <v>228</v>
      </c>
      <c r="E320" s="107">
        <v>70000</v>
      </c>
      <c r="F320" s="271">
        <v>70000</v>
      </c>
      <c r="G320" s="271"/>
      <c r="H320" s="271"/>
      <c r="I320" s="310">
        <f t="shared" si="40"/>
        <v>0</v>
      </c>
      <c r="J320" s="310"/>
    </row>
    <row r="321" spans="1:10" s="112" customFormat="1" ht="13.8" hidden="1" x14ac:dyDescent="0.25">
      <c r="A321" s="105" t="s">
        <v>347</v>
      </c>
      <c r="B321" s="105">
        <v>79</v>
      </c>
      <c r="C321" s="145">
        <v>38119</v>
      </c>
      <c r="D321" s="146" t="s">
        <v>85</v>
      </c>
      <c r="E321" s="107">
        <v>4000</v>
      </c>
      <c r="F321" s="271">
        <v>5000</v>
      </c>
      <c r="G321" s="271"/>
      <c r="H321" s="271"/>
      <c r="I321" s="310">
        <f t="shared" si="40"/>
        <v>0</v>
      </c>
      <c r="J321" s="310"/>
    </row>
    <row r="322" spans="1:10" s="112" customFormat="1" ht="13.8" x14ac:dyDescent="0.25">
      <c r="A322" s="105" t="s">
        <v>347</v>
      </c>
      <c r="B322" s="101"/>
      <c r="C322" s="143">
        <v>382</v>
      </c>
      <c r="D322" s="144" t="s">
        <v>38</v>
      </c>
      <c r="E322" s="103">
        <f>SUM(E323)</f>
        <v>10000</v>
      </c>
      <c r="F322" s="268">
        <f>SUM(F323)</f>
        <v>5000</v>
      </c>
      <c r="G322" s="268"/>
      <c r="H322" s="268"/>
      <c r="I322" s="310">
        <f t="shared" si="40"/>
        <v>0</v>
      </c>
      <c r="J322" s="310"/>
    </row>
    <row r="323" spans="1:10" s="112" customFormat="1" ht="13.8" hidden="1" x14ac:dyDescent="0.25">
      <c r="A323" s="105" t="s">
        <v>347</v>
      </c>
      <c r="B323" s="105">
        <v>80</v>
      </c>
      <c r="C323" s="145">
        <v>38214</v>
      </c>
      <c r="D323" s="146" t="s">
        <v>237</v>
      </c>
      <c r="E323" s="107">
        <v>10000</v>
      </c>
      <c r="F323" s="271">
        <v>5000</v>
      </c>
      <c r="G323" s="271"/>
      <c r="H323" s="271"/>
      <c r="I323" s="310">
        <f t="shared" si="40"/>
        <v>0</v>
      </c>
      <c r="J323" s="310"/>
    </row>
    <row r="324" spans="1:10" s="112" customFormat="1" ht="14.4" thickBot="1" x14ac:dyDescent="0.3">
      <c r="A324" s="109"/>
      <c r="B324" s="109"/>
      <c r="C324" s="152"/>
      <c r="D324" s="153"/>
      <c r="E324" s="111"/>
      <c r="F324" s="273"/>
      <c r="G324" s="273"/>
      <c r="H324" s="273"/>
      <c r="I324" s="232"/>
      <c r="J324" s="232"/>
    </row>
    <row r="325" spans="1:10" s="190" customFormat="1" ht="17.399999999999999" thickBot="1" x14ac:dyDescent="0.35">
      <c r="A325" s="800" t="s">
        <v>238</v>
      </c>
      <c r="B325" s="801"/>
      <c r="C325" s="801"/>
      <c r="D325" s="801"/>
      <c r="E325" s="196">
        <f>SUM(E327)</f>
        <v>0</v>
      </c>
      <c r="F325" s="261">
        <f>SUM(F327)</f>
        <v>10000</v>
      </c>
      <c r="G325" s="261">
        <f>SUM(G327)</f>
        <v>10000</v>
      </c>
      <c r="H325" s="261">
        <f>SUM(H327)</f>
        <v>10000</v>
      </c>
      <c r="I325" s="226">
        <f>AVERAGE(G325/F325*100)</f>
        <v>100</v>
      </c>
      <c r="J325" s="226">
        <f>AVERAGE(H325/G325*100)</f>
        <v>100</v>
      </c>
    </row>
    <row r="326" spans="1:10" s="190" customFormat="1" ht="17.399999999999999" thickBot="1" x14ac:dyDescent="0.35">
      <c r="A326" s="197"/>
      <c r="B326" s="197"/>
      <c r="C326" s="197"/>
      <c r="D326" s="197"/>
      <c r="E326" s="172"/>
      <c r="F326" s="285"/>
      <c r="G326" s="285"/>
      <c r="H326" s="285"/>
      <c r="I326" s="227"/>
      <c r="J326" s="227"/>
    </row>
    <row r="327" spans="1:10" s="79" customFormat="1" ht="16.2" thickBot="1" x14ac:dyDescent="0.35">
      <c r="A327" s="776" t="s">
        <v>239</v>
      </c>
      <c r="B327" s="777"/>
      <c r="C327" s="777"/>
      <c r="D327" s="777"/>
      <c r="E327" s="91">
        <f>SUM(E331)</f>
        <v>0</v>
      </c>
      <c r="F327" s="263">
        <f>SUM(F331)</f>
        <v>10000</v>
      </c>
      <c r="G327" s="263">
        <f>SUM(G331)</f>
        <v>10000</v>
      </c>
      <c r="H327" s="263">
        <f>SUM(H331)</f>
        <v>10000</v>
      </c>
      <c r="I327" s="228">
        <f>AVERAGE(G327/F327*100)</f>
        <v>100</v>
      </c>
      <c r="J327" s="228">
        <f>AVERAGE(H327/G327*100)</f>
        <v>100</v>
      </c>
    </row>
    <row r="328" spans="1:10" ht="13.8" x14ac:dyDescent="0.25">
      <c r="B328" s="1"/>
      <c r="C328" s="187"/>
      <c r="D328" s="192"/>
      <c r="E328" s="175"/>
      <c r="F328" s="286"/>
      <c r="G328" s="286"/>
      <c r="H328" s="286"/>
      <c r="I328" s="227"/>
      <c r="J328" s="227"/>
    </row>
    <row r="329" spans="1:10" s="1" customFormat="1" ht="13.8" x14ac:dyDescent="0.25">
      <c r="C329" s="187"/>
      <c r="D329" s="182" t="s">
        <v>240</v>
      </c>
      <c r="E329" s="96"/>
      <c r="F329" s="265"/>
      <c r="G329" s="265"/>
      <c r="H329" s="265"/>
      <c r="I329" s="237"/>
      <c r="J329" s="237"/>
    </row>
    <row r="330" spans="1:10" s="1" customFormat="1" ht="14.25" customHeight="1" x14ac:dyDescent="0.25">
      <c r="C330" s="187"/>
      <c r="D330" s="218" t="s">
        <v>195</v>
      </c>
      <c r="E330" s="98"/>
      <c r="F330" s="266"/>
      <c r="G330" s="294"/>
      <c r="H330" s="294"/>
      <c r="I330" s="238"/>
      <c r="J330" s="238"/>
    </row>
    <row r="331" spans="1:10" s="1" customFormat="1" ht="13.8" x14ac:dyDescent="0.25">
      <c r="C331" s="187"/>
      <c r="D331" s="252" t="s">
        <v>326</v>
      </c>
      <c r="E331" s="177">
        <f t="shared" ref="E331:H333" si="41">SUM(E332)</f>
        <v>0</v>
      </c>
      <c r="F331" s="260">
        <f t="shared" si="41"/>
        <v>10000</v>
      </c>
      <c r="G331" s="260">
        <f t="shared" si="41"/>
        <v>10000</v>
      </c>
      <c r="H331" s="260">
        <f t="shared" si="41"/>
        <v>10000</v>
      </c>
      <c r="I331" s="312">
        <f>AVERAGE(G331/F331*100)</f>
        <v>100</v>
      </c>
      <c r="J331" s="312">
        <f>AVERAGE(H331/G331*100)</f>
        <v>100</v>
      </c>
    </row>
    <row r="332" spans="1:10" s="130" customFormat="1" ht="13.8" x14ac:dyDescent="0.25">
      <c r="A332" s="131" t="s">
        <v>292</v>
      </c>
      <c r="B332" s="101"/>
      <c r="C332" s="143">
        <v>32</v>
      </c>
      <c r="D332" s="144" t="s">
        <v>180</v>
      </c>
      <c r="E332" s="103">
        <f t="shared" si="41"/>
        <v>0</v>
      </c>
      <c r="F332" s="268">
        <f t="shared" si="41"/>
        <v>10000</v>
      </c>
      <c r="G332" s="268">
        <v>10000</v>
      </c>
      <c r="H332" s="268">
        <v>10000</v>
      </c>
      <c r="I332" s="310">
        <f t="shared" ref="I332:J334" si="42">AVERAGE(G332/F332*100)</f>
        <v>100</v>
      </c>
      <c r="J332" s="310">
        <f t="shared" si="42"/>
        <v>100</v>
      </c>
    </row>
    <row r="333" spans="1:10" s="130" customFormat="1" ht="13.8" x14ac:dyDescent="0.25">
      <c r="A333" s="131" t="s">
        <v>292</v>
      </c>
      <c r="B333" s="101"/>
      <c r="C333" s="143">
        <v>323</v>
      </c>
      <c r="D333" s="144" t="s">
        <v>56</v>
      </c>
      <c r="E333" s="103">
        <f t="shared" si="41"/>
        <v>0</v>
      </c>
      <c r="F333" s="268">
        <f t="shared" si="41"/>
        <v>10000</v>
      </c>
      <c r="G333" s="268"/>
      <c r="H333" s="268"/>
      <c r="I333" s="310">
        <f t="shared" si="42"/>
        <v>0</v>
      </c>
      <c r="J333" s="310"/>
    </row>
    <row r="334" spans="1:10" s="112" customFormat="1" ht="13.8" hidden="1" x14ac:dyDescent="0.25">
      <c r="A334" s="131" t="s">
        <v>292</v>
      </c>
      <c r="B334" s="105">
        <v>81</v>
      </c>
      <c r="C334" s="145">
        <v>3234</v>
      </c>
      <c r="D334" s="146" t="s">
        <v>60</v>
      </c>
      <c r="E334" s="107">
        <v>0</v>
      </c>
      <c r="F334" s="271">
        <v>10000</v>
      </c>
      <c r="G334" s="271"/>
      <c r="H334" s="271"/>
      <c r="I334" s="310">
        <f t="shared" si="42"/>
        <v>0</v>
      </c>
      <c r="J334" s="310"/>
    </row>
    <row r="335" spans="1:10" s="79" customFormat="1" ht="15.6" thickBot="1" x14ac:dyDescent="0.3">
      <c r="A335" s="108"/>
      <c r="C335" s="174"/>
      <c r="D335" s="198"/>
      <c r="E335" s="199"/>
      <c r="F335" s="295"/>
      <c r="G335" s="295"/>
      <c r="H335" s="295"/>
      <c r="I335" s="227"/>
      <c r="J335" s="227"/>
    </row>
    <row r="336" spans="1:10" s="190" customFormat="1" ht="17.399999999999999" thickBot="1" x14ac:dyDescent="0.35">
      <c r="A336" s="804" t="s">
        <v>282</v>
      </c>
      <c r="B336" s="805"/>
      <c r="C336" s="805"/>
      <c r="D336" s="805"/>
      <c r="E336" s="178">
        <f>SUM(E338+E371+E414)</f>
        <v>2675000</v>
      </c>
      <c r="F336" s="288">
        <f>SUM(F338+F371+F414)</f>
        <v>6430000</v>
      </c>
      <c r="G336" s="288">
        <f>SUM(G338+G371+G414)</f>
        <v>3580000</v>
      </c>
      <c r="H336" s="288">
        <f>SUM(H338+H371+H414)</f>
        <v>3950000</v>
      </c>
      <c r="I336" s="226">
        <f>AVERAGE(G336/F336*100)</f>
        <v>55.676516329704505</v>
      </c>
      <c r="J336" s="226">
        <f>AVERAGE(H336/G336*100)</f>
        <v>110.33519553072625</v>
      </c>
    </row>
    <row r="337" spans="1:10" s="190" customFormat="1" ht="17.399999999999999" thickBot="1" x14ac:dyDescent="0.35">
      <c r="A337" s="200"/>
      <c r="B337" s="200"/>
      <c r="C337" s="200"/>
      <c r="D337" s="200"/>
      <c r="E337" s="172"/>
      <c r="F337" s="285"/>
      <c r="G337" s="285"/>
      <c r="H337" s="285"/>
      <c r="I337" s="227"/>
      <c r="J337" s="227"/>
    </row>
    <row r="338" spans="1:10" s="79" customFormat="1" ht="16.2" thickBot="1" x14ac:dyDescent="0.35">
      <c r="A338" s="776" t="s">
        <v>241</v>
      </c>
      <c r="B338" s="777"/>
      <c r="C338" s="777"/>
      <c r="D338" s="777"/>
      <c r="E338" s="91">
        <f>SUM(E342+E351+E359+E366)</f>
        <v>0</v>
      </c>
      <c r="F338" s="263">
        <f>SUM(F342+F351+F359+F366)</f>
        <v>670000</v>
      </c>
      <c r="G338" s="263">
        <f>SUM(G342+G351+G359+G366)</f>
        <v>550000</v>
      </c>
      <c r="H338" s="263">
        <f>SUM(H342+H351+H359+H366)</f>
        <v>480000</v>
      </c>
      <c r="I338" s="228">
        <f>AVERAGE(G338/F338*100)</f>
        <v>82.089552238805979</v>
      </c>
      <c r="J338" s="228">
        <f>AVERAGE(H338/G338*100)</f>
        <v>87.272727272727266</v>
      </c>
    </row>
    <row r="339" spans="1:10" ht="13.8" x14ac:dyDescent="0.25">
      <c r="A339" s="108"/>
      <c r="B339" s="1"/>
      <c r="C339" s="187"/>
      <c r="D339" s="192"/>
      <c r="E339" s="175"/>
      <c r="F339" s="286"/>
      <c r="G339" s="286"/>
      <c r="H339" s="286"/>
      <c r="I339" s="227"/>
      <c r="J339" s="227"/>
    </row>
    <row r="340" spans="1:10" ht="15.75" customHeight="1" x14ac:dyDescent="0.25">
      <c r="A340" s="108"/>
      <c r="B340" s="1"/>
      <c r="C340" s="187"/>
      <c r="D340" s="182" t="s">
        <v>223</v>
      </c>
      <c r="E340" s="96"/>
      <c r="F340" s="265"/>
      <c r="G340" s="265"/>
      <c r="H340" s="265"/>
      <c r="I340" s="229"/>
      <c r="J340" s="229"/>
    </row>
    <row r="341" spans="1:10" ht="15.75" customHeight="1" x14ac:dyDescent="0.25">
      <c r="A341" s="108"/>
      <c r="B341" s="1"/>
      <c r="C341" s="187"/>
      <c r="D341" s="217" t="s">
        <v>195</v>
      </c>
      <c r="E341" s="98"/>
      <c r="F341" s="266"/>
      <c r="G341" s="266"/>
      <c r="H341" s="266"/>
      <c r="I341" s="230"/>
      <c r="J341" s="230"/>
    </row>
    <row r="342" spans="1:10" ht="16.5" customHeight="1" x14ac:dyDescent="0.25">
      <c r="A342" s="108"/>
      <c r="B342" s="1"/>
      <c r="C342" s="187"/>
      <c r="D342" s="252" t="s">
        <v>327</v>
      </c>
      <c r="E342" s="177">
        <f>SUM(E343)</f>
        <v>0</v>
      </c>
      <c r="F342" s="260">
        <f>SUM(F343)</f>
        <v>115000</v>
      </c>
      <c r="G342" s="260">
        <f>SUM(G343)</f>
        <v>100000</v>
      </c>
      <c r="H342" s="260">
        <f>SUM(H343)</f>
        <v>80000</v>
      </c>
      <c r="I342" s="312">
        <f>AVERAGE(G342/F342*100)</f>
        <v>86.956521739130437</v>
      </c>
      <c r="J342" s="312">
        <f>AVERAGE(H342/G342*100)</f>
        <v>80</v>
      </c>
    </row>
    <row r="343" spans="1:10" s="130" customFormat="1" ht="13.8" x14ac:dyDescent="0.25">
      <c r="A343" s="131" t="s">
        <v>292</v>
      </c>
      <c r="B343" s="101"/>
      <c r="C343" s="143">
        <v>32</v>
      </c>
      <c r="D343" s="144" t="s">
        <v>180</v>
      </c>
      <c r="E343" s="103">
        <f>SUM(E344+E346)</f>
        <v>0</v>
      </c>
      <c r="F343" s="268">
        <f>SUM(F344+F346)</f>
        <v>115000</v>
      </c>
      <c r="G343" s="268">
        <v>100000</v>
      </c>
      <c r="H343" s="268">
        <v>80000</v>
      </c>
      <c r="I343" s="310">
        <f t="shared" ref="I343:J347" si="43">AVERAGE(G343/F343*100)</f>
        <v>86.956521739130437</v>
      </c>
      <c r="J343" s="310">
        <f t="shared" si="43"/>
        <v>80</v>
      </c>
    </row>
    <row r="344" spans="1:10" s="130" customFormat="1" ht="13.8" x14ac:dyDescent="0.25">
      <c r="A344" s="131" t="s">
        <v>292</v>
      </c>
      <c r="B344" s="101"/>
      <c r="C344" s="143">
        <v>322</v>
      </c>
      <c r="D344" s="144" t="s">
        <v>52</v>
      </c>
      <c r="E344" s="103">
        <f>SUM(E345)</f>
        <v>0</v>
      </c>
      <c r="F344" s="268">
        <f>SUM(F345)</f>
        <v>100000</v>
      </c>
      <c r="G344" s="268"/>
      <c r="H344" s="268"/>
      <c r="I344" s="310">
        <f t="shared" si="43"/>
        <v>0</v>
      </c>
      <c r="J344" s="310"/>
    </row>
    <row r="345" spans="1:10" s="112" customFormat="1" ht="13.8" hidden="1" x14ac:dyDescent="0.25">
      <c r="A345" s="131" t="s">
        <v>292</v>
      </c>
      <c r="B345" s="105">
        <v>82</v>
      </c>
      <c r="C345" s="145">
        <v>3223</v>
      </c>
      <c r="D345" s="146" t="s">
        <v>54</v>
      </c>
      <c r="E345" s="107">
        <v>0</v>
      </c>
      <c r="F345" s="271">
        <v>100000</v>
      </c>
      <c r="G345" s="271"/>
      <c r="H345" s="271"/>
      <c r="I345" s="310">
        <f t="shared" si="43"/>
        <v>0</v>
      </c>
      <c r="J345" s="310"/>
    </row>
    <row r="346" spans="1:10" s="130" customFormat="1" ht="13.8" x14ac:dyDescent="0.25">
      <c r="A346" s="131" t="s">
        <v>292</v>
      </c>
      <c r="B346" s="101"/>
      <c r="C346" s="143">
        <v>323</v>
      </c>
      <c r="D346" s="144" t="s">
        <v>56</v>
      </c>
      <c r="E346" s="103">
        <f>SUM(E347)</f>
        <v>0</v>
      </c>
      <c r="F346" s="268">
        <f>SUM(F347)</f>
        <v>15000</v>
      </c>
      <c r="G346" s="268"/>
      <c r="H346" s="268"/>
      <c r="I346" s="310">
        <f t="shared" si="43"/>
        <v>0</v>
      </c>
      <c r="J346" s="310"/>
    </row>
    <row r="347" spans="1:10" s="112" customFormat="1" ht="13.8" hidden="1" x14ac:dyDescent="0.25">
      <c r="A347" s="131" t="s">
        <v>292</v>
      </c>
      <c r="B347" s="105">
        <v>83</v>
      </c>
      <c r="C347" s="145">
        <v>3232</v>
      </c>
      <c r="D347" s="146" t="s">
        <v>242</v>
      </c>
      <c r="E347" s="107">
        <v>0</v>
      </c>
      <c r="F347" s="271">
        <v>15000</v>
      </c>
      <c r="G347" s="271"/>
      <c r="H347" s="271"/>
      <c r="I347" s="310">
        <f t="shared" si="43"/>
        <v>0</v>
      </c>
      <c r="J347" s="310"/>
    </row>
    <row r="348" spans="1:10" s="112" customFormat="1" ht="13.8" x14ac:dyDescent="0.25">
      <c r="A348" s="109"/>
      <c r="B348" s="109"/>
      <c r="C348" s="152"/>
      <c r="D348" s="153"/>
      <c r="E348" s="111"/>
      <c r="F348" s="273"/>
      <c r="G348" s="273"/>
      <c r="H348" s="273"/>
      <c r="I348" s="232"/>
      <c r="J348" s="232"/>
    </row>
    <row r="349" spans="1:10" ht="13.8" x14ac:dyDescent="0.25">
      <c r="A349" s="108"/>
      <c r="B349" s="1"/>
      <c r="C349" s="187"/>
      <c r="D349" s="95" t="s">
        <v>223</v>
      </c>
      <c r="E349" s="96"/>
      <c r="F349" s="265"/>
      <c r="G349" s="265"/>
      <c r="H349" s="265"/>
      <c r="I349" s="229"/>
      <c r="J349" s="229"/>
    </row>
    <row r="350" spans="1:10" ht="14.4" x14ac:dyDescent="0.3">
      <c r="A350" s="108"/>
      <c r="B350" s="1"/>
      <c r="C350" s="187"/>
      <c r="D350" s="164" t="s">
        <v>195</v>
      </c>
      <c r="E350" s="98"/>
      <c r="F350" s="266"/>
      <c r="G350" s="266"/>
      <c r="H350" s="266"/>
      <c r="I350" s="230"/>
      <c r="J350" s="230"/>
    </row>
    <row r="351" spans="1:10" ht="13.8" x14ac:dyDescent="0.25">
      <c r="A351" s="108"/>
      <c r="B351" s="1"/>
      <c r="C351" s="187"/>
      <c r="D351" s="248" t="s">
        <v>328</v>
      </c>
      <c r="E351" s="177">
        <f t="shared" ref="E351:H352" si="44">SUM(E352)</f>
        <v>0</v>
      </c>
      <c r="F351" s="260">
        <f t="shared" si="44"/>
        <v>55000</v>
      </c>
      <c r="G351" s="260">
        <f t="shared" si="44"/>
        <v>50000</v>
      </c>
      <c r="H351" s="260">
        <f t="shared" si="44"/>
        <v>50000</v>
      </c>
      <c r="I351" s="312">
        <f>AVERAGE(G351/F351*100)</f>
        <v>90.909090909090907</v>
      </c>
      <c r="J351" s="312">
        <f>AVERAGE(H351/G351*100)</f>
        <v>100</v>
      </c>
    </row>
    <row r="352" spans="1:10" s="130" customFormat="1" ht="13.8" x14ac:dyDescent="0.25">
      <c r="A352" s="145" t="s">
        <v>306</v>
      </c>
      <c r="B352" s="101"/>
      <c r="C352" s="143">
        <v>32</v>
      </c>
      <c r="D352" s="144" t="s">
        <v>180</v>
      </c>
      <c r="E352" s="103">
        <f t="shared" si="44"/>
        <v>0</v>
      </c>
      <c r="F352" s="268">
        <f t="shared" si="44"/>
        <v>55000</v>
      </c>
      <c r="G352" s="268">
        <v>50000</v>
      </c>
      <c r="H352" s="268">
        <v>50000</v>
      </c>
      <c r="I352" s="310">
        <f t="shared" ref="I352:J355" si="45">AVERAGE(G352/F352*100)</f>
        <v>90.909090909090907</v>
      </c>
      <c r="J352" s="310">
        <f t="shared" si="45"/>
        <v>100</v>
      </c>
    </row>
    <row r="353" spans="1:10" s="130" customFormat="1" ht="13.8" x14ac:dyDescent="0.25">
      <c r="A353" s="145" t="s">
        <v>306</v>
      </c>
      <c r="B353" s="101"/>
      <c r="C353" s="143">
        <v>323</v>
      </c>
      <c r="D353" s="144" t="s">
        <v>56</v>
      </c>
      <c r="E353" s="103">
        <f>SUM(E354:E355)</f>
        <v>0</v>
      </c>
      <c r="F353" s="268">
        <f>SUM(F354:F355)</f>
        <v>55000</v>
      </c>
      <c r="G353" s="268"/>
      <c r="H353" s="268"/>
      <c r="I353" s="310">
        <f t="shared" si="45"/>
        <v>0</v>
      </c>
      <c r="J353" s="310"/>
    </row>
    <row r="354" spans="1:10" s="112" customFormat="1" ht="13.8" hidden="1" x14ac:dyDescent="0.25">
      <c r="A354" s="145" t="s">
        <v>306</v>
      </c>
      <c r="B354" s="105">
        <v>84</v>
      </c>
      <c r="C354" s="145">
        <v>3232</v>
      </c>
      <c r="D354" s="146" t="s">
        <v>242</v>
      </c>
      <c r="E354" s="107">
        <v>0</v>
      </c>
      <c r="F354" s="271">
        <v>10000</v>
      </c>
      <c r="G354" s="271"/>
      <c r="H354" s="271"/>
      <c r="I354" s="310">
        <f t="shared" si="45"/>
        <v>0</v>
      </c>
      <c r="J354" s="310"/>
    </row>
    <row r="355" spans="1:10" s="112" customFormat="1" ht="13.8" hidden="1" x14ac:dyDescent="0.25">
      <c r="A355" s="145" t="s">
        <v>306</v>
      </c>
      <c r="B355" s="105">
        <v>85</v>
      </c>
      <c r="C355" s="145">
        <v>3234</v>
      </c>
      <c r="D355" s="146" t="s">
        <v>60</v>
      </c>
      <c r="E355" s="107">
        <v>0</v>
      </c>
      <c r="F355" s="271">
        <v>45000</v>
      </c>
      <c r="G355" s="271"/>
      <c r="H355" s="271"/>
      <c r="I355" s="310">
        <f t="shared" si="45"/>
        <v>0</v>
      </c>
      <c r="J355" s="310"/>
    </row>
    <row r="356" spans="1:10" s="112" customFormat="1" ht="13.8" x14ac:dyDescent="0.25">
      <c r="A356" s="109"/>
      <c r="B356" s="109"/>
      <c r="C356" s="152"/>
      <c r="D356" s="153"/>
      <c r="E356" s="111"/>
      <c r="F356" s="273"/>
      <c r="G356" s="273"/>
      <c r="H356" s="273"/>
      <c r="I356" s="232"/>
      <c r="J356" s="232"/>
    </row>
    <row r="357" spans="1:10" ht="13.8" x14ac:dyDescent="0.25">
      <c r="B357" s="1"/>
      <c r="C357" s="187"/>
      <c r="D357" s="182" t="s">
        <v>223</v>
      </c>
      <c r="E357" s="96"/>
      <c r="F357" s="265"/>
      <c r="G357" s="265"/>
      <c r="H357" s="265"/>
      <c r="I357" s="237"/>
      <c r="J357" s="237"/>
    </row>
    <row r="358" spans="1:10" ht="14.25" customHeight="1" x14ac:dyDescent="0.25">
      <c r="B358" s="1"/>
      <c r="C358" s="187"/>
      <c r="D358" s="218" t="s">
        <v>243</v>
      </c>
      <c r="E358" s="98"/>
      <c r="F358" s="266"/>
      <c r="G358" s="266"/>
      <c r="H358" s="266"/>
      <c r="I358" s="238"/>
      <c r="J358" s="238"/>
    </row>
    <row r="359" spans="1:10" ht="13.8" x14ac:dyDescent="0.25">
      <c r="B359" s="1"/>
      <c r="C359" s="187"/>
      <c r="D359" s="253" t="s">
        <v>329</v>
      </c>
      <c r="E359" s="177">
        <f t="shared" ref="E359:H361" si="46">SUM(E360)</f>
        <v>0</v>
      </c>
      <c r="F359" s="260">
        <f t="shared" si="46"/>
        <v>250000</v>
      </c>
      <c r="G359" s="260">
        <f t="shared" si="46"/>
        <v>200000</v>
      </c>
      <c r="H359" s="260">
        <f t="shared" si="46"/>
        <v>150000</v>
      </c>
      <c r="I359" s="312">
        <f>AVERAGE(G359/F359*100)</f>
        <v>80</v>
      </c>
      <c r="J359" s="312">
        <f>AVERAGE(H359/G359*100)</f>
        <v>75</v>
      </c>
    </row>
    <row r="360" spans="1:10" s="130" customFormat="1" ht="13.8" x14ac:dyDescent="0.25">
      <c r="A360" s="105" t="s">
        <v>307</v>
      </c>
      <c r="B360" s="101"/>
      <c r="C360" s="143">
        <v>32</v>
      </c>
      <c r="D360" s="144" t="s">
        <v>180</v>
      </c>
      <c r="E360" s="103">
        <f t="shared" si="46"/>
        <v>0</v>
      </c>
      <c r="F360" s="268">
        <f t="shared" si="46"/>
        <v>250000</v>
      </c>
      <c r="G360" s="268">
        <v>200000</v>
      </c>
      <c r="H360" s="268">
        <v>150000</v>
      </c>
      <c r="I360" s="310">
        <f t="shared" ref="I360:J362" si="47">AVERAGE(G360/F360*100)</f>
        <v>80</v>
      </c>
      <c r="J360" s="310">
        <f t="shared" si="47"/>
        <v>75</v>
      </c>
    </row>
    <row r="361" spans="1:10" s="130" customFormat="1" ht="13.8" x14ac:dyDescent="0.25">
      <c r="A361" s="105" t="s">
        <v>307</v>
      </c>
      <c r="B361" s="101"/>
      <c r="C361" s="143">
        <v>323</v>
      </c>
      <c r="D361" s="144" t="s">
        <v>56</v>
      </c>
      <c r="E361" s="103">
        <f t="shared" si="46"/>
        <v>0</v>
      </c>
      <c r="F361" s="268">
        <f t="shared" si="46"/>
        <v>250000</v>
      </c>
      <c r="G361" s="268"/>
      <c r="H361" s="268"/>
      <c r="I361" s="310">
        <f t="shared" si="47"/>
        <v>0</v>
      </c>
      <c r="J361" s="310"/>
    </row>
    <row r="362" spans="1:10" s="112" customFormat="1" ht="13.8" hidden="1" x14ac:dyDescent="0.25">
      <c r="A362" s="105" t="s">
        <v>307</v>
      </c>
      <c r="B362" s="105">
        <v>86</v>
      </c>
      <c r="C362" s="145">
        <v>3232</v>
      </c>
      <c r="D362" s="146" t="s">
        <v>242</v>
      </c>
      <c r="E362" s="107">
        <v>0</v>
      </c>
      <c r="F362" s="271">
        <v>250000</v>
      </c>
      <c r="G362" s="271"/>
      <c r="H362" s="271"/>
      <c r="I362" s="310">
        <f t="shared" si="47"/>
        <v>0</v>
      </c>
      <c r="J362" s="310"/>
    </row>
    <row r="363" spans="1:10" s="112" customFormat="1" ht="13.8" x14ac:dyDescent="0.25">
      <c r="A363" s="109"/>
      <c r="B363" s="109"/>
      <c r="C363" s="152"/>
      <c r="D363" s="153"/>
      <c r="E363" s="111"/>
      <c r="F363" s="273"/>
      <c r="G363" s="273"/>
      <c r="H363" s="273"/>
      <c r="I363" s="232"/>
      <c r="J363" s="232"/>
    </row>
    <row r="364" spans="1:10" ht="13.8" x14ac:dyDescent="0.25">
      <c r="B364" s="1"/>
      <c r="C364" s="187"/>
      <c r="D364" s="182" t="s">
        <v>223</v>
      </c>
      <c r="E364" s="96"/>
      <c r="F364" s="265"/>
      <c r="G364" s="265"/>
      <c r="H364" s="265"/>
      <c r="I364" s="237"/>
      <c r="J364" s="237"/>
    </row>
    <row r="365" spans="1:10" ht="14.25" customHeight="1" x14ac:dyDescent="0.25">
      <c r="B365" s="1"/>
      <c r="C365" s="187"/>
      <c r="D365" s="218" t="s">
        <v>244</v>
      </c>
      <c r="E365" s="98"/>
      <c r="F365" s="266"/>
      <c r="G365" s="266"/>
      <c r="H365" s="266"/>
      <c r="I365" s="238"/>
      <c r="J365" s="238"/>
    </row>
    <row r="366" spans="1:10" ht="27.6" x14ac:dyDescent="0.25">
      <c r="B366" s="1"/>
      <c r="C366" s="187"/>
      <c r="D366" s="252" t="s">
        <v>330</v>
      </c>
      <c r="E366" s="177">
        <f t="shared" ref="E366:H368" si="48">SUM(E367)</f>
        <v>0</v>
      </c>
      <c r="F366" s="260">
        <f t="shared" si="48"/>
        <v>250000</v>
      </c>
      <c r="G366" s="260">
        <f t="shared" si="48"/>
        <v>200000</v>
      </c>
      <c r="H366" s="260">
        <f t="shared" si="48"/>
        <v>200000</v>
      </c>
      <c r="I366" s="312">
        <f>AVERAGE(G366/F366*100)</f>
        <v>80</v>
      </c>
      <c r="J366" s="312">
        <f>AVERAGE(H366/G366*100)</f>
        <v>100</v>
      </c>
    </row>
    <row r="367" spans="1:10" s="130" customFormat="1" ht="13.8" x14ac:dyDescent="0.25">
      <c r="A367" s="105" t="s">
        <v>308</v>
      </c>
      <c r="B367" s="101"/>
      <c r="C367" s="143">
        <v>32</v>
      </c>
      <c r="D367" s="144" t="s">
        <v>180</v>
      </c>
      <c r="E367" s="103">
        <f t="shared" si="48"/>
        <v>0</v>
      </c>
      <c r="F367" s="268">
        <f t="shared" si="48"/>
        <v>250000</v>
      </c>
      <c r="G367" s="268">
        <v>200000</v>
      </c>
      <c r="H367" s="268">
        <v>200000</v>
      </c>
      <c r="I367" s="310">
        <f t="shared" ref="I367:J369" si="49">AVERAGE(G367/F367*100)</f>
        <v>80</v>
      </c>
      <c r="J367" s="310">
        <f t="shared" si="49"/>
        <v>100</v>
      </c>
    </row>
    <row r="368" spans="1:10" s="130" customFormat="1" ht="13.8" x14ac:dyDescent="0.25">
      <c r="A368" s="105" t="s">
        <v>308</v>
      </c>
      <c r="B368" s="101"/>
      <c r="C368" s="143">
        <v>323</v>
      </c>
      <c r="D368" s="144" t="s">
        <v>56</v>
      </c>
      <c r="E368" s="103">
        <f t="shared" si="48"/>
        <v>0</v>
      </c>
      <c r="F368" s="268">
        <f t="shared" si="48"/>
        <v>250000</v>
      </c>
      <c r="G368" s="268"/>
      <c r="H368" s="268"/>
      <c r="I368" s="310">
        <f t="shared" si="49"/>
        <v>0</v>
      </c>
      <c r="J368" s="310"/>
    </row>
    <row r="369" spans="1:10" s="112" customFormat="1" ht="13.8" hidden="1" x14ac:dyDescent="0.25">
      <c r="A369" s="105" t="s">
        <v>308</v>
      </c>
      <c r="B369" s="105">
        <v>87</v>
      </c>
      <c r="C369" s="145">
        <v>3232</v>
      </c>
      <c r="D369" s="146" t="s">
        <v>242</v>
      </c>
      <c r="E369" s="107">
        <v>0</v>
      </c>
      <c r="F369" s="271">
        <v>250000</v>
      </c>
      <c r="G369" s="271"/>
      <c r="H369" s="271"/>
      <c r="I369" s="310">
        <f t="shared" si="49"/>
        <v>0</v>
      </c>
      <c r="J369" s="310"/>
    </row>
    <row r="370" spans="1:10" s="112" customFormat="1" ht="14.4" thickBot="1" x14ac:dyDescent="0.3">
      <c r="A370" s="109"/>
      <c r="B370" s="109"/>
      <c r="C370" s="152"/>
      <c r="D370" s="153"/>
      <c r="E370" s="111"/>
      <c r="F370" s="273"/>
      <c r="G370" s="273"/>
      <c r="H370" s="273"/>
      <c r="I370" s="232"/>
      <c r="J370" s="232"/>
    </row>
    <row r="371" spans="1:10" s="79" customFormat="1" ht="16.2" thickBot="1" x14ac:dyDescent="0.35">
      <c r="A371" s="776" t="s">
        <v>245</v>
      </c>
      <c r="B371" s="777"/>
      <c r="C371" s="777"/>
      <c r="D371" s="777"/>
      <c r="E371" s="91">
        <f>SUM(E375+E382+E389+E399+E406)</f>
        <v>1030000</v>
      </c>
      <c r="F371" s="263">
        <f>SUM(F375+F382+F389+F399+F406)</f>
        <v>2250000</v>
      </c>
      <c r="G371" s="263">
        <f>SUM(G375+G382+G389+G399+G406)</f>
        <v>1650000</v>
      </c>
      <c r="H371" s="263">
        <f>SUM(H375+H382+H389+H399+H406)</f>
        <v>1900000</v>
      </c>
      <c r="I371" s="228">
        <f>AVERAGE(G371/F371*100)</f>
        <v>73.333333333333329</v>
      </c>
      <c r="J371" s="228">
        <f>AVERAGE(H371/G371*100)</f>
        <v>115.15151515151516</v>
      </c>
    </row>
    <row r="372" spans="1:10" s="79" customFormat="1" ht="15.6" x14ac:dyDescent="0.3">
      <c r="A372" s="80"/>
      <c r="B372" s="80"/>
      <c r="C372" s="80"/>
      <c r="D372" s="80"/>
      <c r="E372" s="179"/>
      <c r="F372" s="289"/>
      <c r="G372" s="289"/>
      <c r="H372" s="289"/>
      <c r="I372" s="227"/>
      <c r="J372" s="227"/>
    </row>
    <row r="373" spans="1:10" s="1" customFormat="1" ht="27.6" x14ac:dyDescent="0.25">
      <c r="C373" s="187"/>
      <c r="D373" s="182" t="s">
        <v>246</v>
      </c>
      <c r="E373" s="96"/>
      <c r="F373" s="265"/>
      <c r="G373" s="265"/>
      <c r="H373" s="265"/>
      <c r="I373" s="237"/>
      <c r="J373" s="237"/>
    </row>
    <row r="374" spans="1:10" s="1" customFormat="1" ht="13.8" x14ac:dyDescent="0.25">
      <c r="C374" s="187"/>
      <c r="D374" s="218" t="s">
        <v>247</v>
      </c>
      <c r="E374" s="98"/>
      <c r="F374" s="266"/>
      <c r="G374" s="266"/>
      <c r="H374" s="266"/>
      <c r="I374" s="238"/>
      <c r="J374" s="238"/>
    </row>
    <row r="375" spans="1:10" s="1" customFormat="1" ht="27.6" x14ac:dyDescent="0.25">
      <c r="C375" s="187"/>
      <c r="D375" s="252" t="s">
        <v>331</v>
      </c>
      <c r="E375" s="177">
        <f t="shared" ref="E375:H377" si="50">SUM(E376)</f>
        <v>70000</v>
      </c>
      <c r="F375" s="260">
        <f t="shared" si="50"/>
        <v>50000</v>
      </c>
      <c r="G375" s="260">
        <f t="shared" si="50"/>
        <v>100000</v>
      </c>
      <c r="H375" s="260">
        <f t="shared" si="50"/>
        <v>150000</v>
      </c>
      <c r="I375" s="312">
        <f>AVERAGE(G375/F375*100)</f>
        <v>200</v>
      </c>
      <c r="J375" s="312">
        <f>AVERAGE(H375/G375*100)</f>
        <v>150</v>
      </c>
    </row>
    <row r="376" spans="1:10" s="130" customFormat="1" ht="13.8" x14ac:dyDescent="0.25">
      <c r="A376" s="105" t="s">
        <v>293</v>
      </c>
      <c r="B376" s="101"/>
      <c r="C376" s="143">
        <v>41</v>
      </c>
      <c r="D376" s="144" t="s">
        <v>248</v>
      </c>
      <c r="E376" s="103">
        <f t="shared" si="50"/>
        <v>70000</v>
      </c>
      <c r="F376" s="268">
        <f t="shared" si="50"/>
        <v>50000</v>
      </c>
      <c r="G376" s="268">
        <v>100000</v>
      </c>
      <c r="H376" s="268">
        <v>150000</v>
      </c>
      <c r="I376" s="310">
        <f t="shared" ref="I376:J378" si="51">AVERAGE(G376/F376*100)</f>
        <v>200</v>
      </c>
      <c r="J376" s="310">
        <f t="shared" si="51"/>
        <v>150</v>
      </c>
    </row>
    <row r="377" spans="1:10" s="112" customFormat="1" ht="13.8" x14ac:dyDescent="0.25">
      <c r="A377" s="105" t="s">
        <v>293</v>
      </c>
      <c r="B377" s="101"/>
      <c r="C377" s="143">
        <v>411</v>
      </c>
      <c r="D377" s="144" t="s">
        <v>95</v>
      </c>
      <c r="E377" s="103">
        <f t="shared" si="50"/>
        <v>70000</v>
      </c>
      <c r="F377" s="268">
        <f t="shared" si="50"/>
        <v>50000</v>
      </c>
      <c r="G377" s="268"/>
      <c r="H377" s="268"/>
      <c r="I377" s="310">
        <f t="shared" si="51"/>
        <v>0</v>
      </c>
      <c r="J377" s="310"/>
    </row>
    <row r="378" spans="1:10" s="112" customFormat="1" ht="13.8" hidden="1" x14ac:dyDescent="0.25">
      <c r="A378" s="105" t="s">
        <v>293</v>
      </c>
      <c r="B378" s="105">
        <v>88</v>
      </c>
      <c r="C378" s="145">
        <v>4111</v>
      </c>
      <c r="D378" s="146" t="s">
        <v>40</v>
      </c>
      <c r="E378" s="107">
        <v>70000</v>
      </c>
      <c r="F378" s="271">
        <v>50000</v>
      </c>
      <c r="G378" s="271"/>
      <c r="H378" s="271"/>
      <c r="I378" s="310">
        <f t="shared" si="51"/>
        <v>0</v>
      </c>
      <c r="J378" s="310"/>
    </row>
    <row r="379" spans="1:10" s="79" customFormat="1" ht="15" x14ac:dyDescent="0.25">
      <c r="A379" s="108"/>
      <c r="C379" s="174"/>
      <c r="D379" s="198"/>
      <c r="E379" s="199"/>
      <c r="F379" s="295"/>
      <c r="G379" s="295"/>
      <c r="H379" s="295"/>
      <c r="I379" s="227"/>
      <c r="J379" s="227"/>
    </row>
    <row r="380" spans="1:10" s="1" customFormat="1" ht="13.8" x14ac:dyDescent="0.25">
      <c r="A380" s="104"/>
      <c r="C380" s="187"/>
      <c r="D380" s="182" t="s">
        <v>249</v>
      </c>
      <c r="E380" s="96"/>
      <c r="F380" s="265"/>
      <c r="G380" s="265"/>
      <c r="H380" s="265"/>
      <c r="I380" s="237"/>
      <c r="J380" s="237"/>
    </row>
    <row r="381" spans="1:10" s="1" customFormat="1" ht="13.8" x14ac:dyDescent="0.25">
      <c r="A381" s="104"/>
      <c r="C381" s="187"/>
      <c r="D381" s="218" t="s">
        <v>243</v>
      </c>
      <c r="E381" s="195"/>
      <c r="F381" s="294"/>
      <c r="G381" s="294"/>
      <c r="H381" s="294"/>
      <c r="I381" s="238"/>
      <c r="J381" s="238"/>
    </row>
    <row r="382" spans="1:10" s="1" customFormat="1" ht="13.8" x14ac:dyDescent="0.25">
      <c r="A382" s="104"/>
      <c r="C382" s="187"/>
      <c r="D382" s="253" t="s">
        <v>332</v>
      </c>
      <c r="E382" s="177">
        <f t="shared" ref="E382:H384" si="52">SUM(E383)</f>
        <v>700000</v>
      </c>
      <c r="F382" s="260">
        <f t="shared" si="52"/>
        <v>300000</v>
      </c>
      <c r="G382" s="260">
        <f t="shared" si="52"/>
        <v>300000</v>
      </c>
      <c r="H382" s="260">
        <f t="shared" si="52"/>
        <v>500000</v>
      </c>
      <c r="I382" s="312">
        <f>AVERAGE(G382/F382*100)</f>
        <v>100</v>
      </c>
      <c r="J382" s="312">
        <f>AVERAGE(H382/G382*100)</f>
        <v>166.66666666666669</v>
      </c>
    </row>
    <row r="383" spans="1:10" s="112" customFormat="1" ht="13.8" x14ac:dyDescent="0.25">
      <c r="A383" s="105" t="s">
        <v>311</v>
      </c>
      <c r="B383" s="101"/>
      <c r="C383" s="143">
        <v>42</v>
      </c>
      <c r="D383" s="144" t="s">
        <v>250</v>
      </c>
      <c r="E383" s="103">
        <f t="shared" si="52"/>
        <v>700000</v>
      </c>
      <c r="F383" s="268">
        <f t="shared" si="52"/>
        <v>300000</v>
      </c>
      <c r="G383" s="268">
        <v>300000</v>
      </c>
      <c r="H383" s="268">
        <v>500000</v>
      </c>
      <c r="I383" s="310">
        <f t="shared" ref="I383:J385" si="53">AVERAGE(G383/F383*100)</f>
        <v>100</v>
      </c>
      <c r="J383" s="310">
        <f t="shared" si="53"/>
        <v>166.66666666666669</v>
      </c>
    </row>
    <row r="384" spans="1:10" s="112" customFormat="1" ht="13.8" x14ac:dyDescent="0.25">
      <c r="A384" s="105" t="s">
        <v>311</v>
      </c>
      <c r="B384" s="101"/>
      <c r="C384" s="143">
        <v>421</v>
      </c>
      <c r="D384" s="144" t="s">
        <v>97</v>
      </c>
      <c r="E384" s="103">
        <f t="shared" si="52"/>
        <v>700000</v>
      </c>
      <c r="F384" s="268">
        <f t="shared" si="52"/>
        <v>300000</v>
      </c>
      <c r="G384" s="268"/>
      <c r="H384" s="268"/>
      <c r="I384" s="310">
        <f t="shared" si="53"/>
        <v>0</v>
      </c>
      <c r="J384" s="310"/>
    </row>
    <row r="385" spans="1:10" s="112" customFormat="1" ht="13.8" hidden="1" x14ac:dyDescent="0.25">
      <c r="A385" s="105" t="s">
        <v>311</v>
      </c>
      <c r="B385" s="105">
        <v>89</v>
      </c>
      <c r="C385" s="145">
        <v>4214</v>
      </c>
      <c r="D385" s="146" t="s">
        <v>251</v>
      </c>
      <c r="E385" s="107">
        <v>700000</v>
      </c>
      <c r="F385" s="271">
        <v>300000</v>
      </c>
      <c r="G385" s="271"/>
      <c r="H385" s="271"/>
      <c r="I385" s="310">
        <f t="shared" si="53"/>
        <v>0</v>
      </c>
      <c r="J385" s="310"/>
    </row>
    <row r="386" spans="1:10" s="112" customFormat="1" ht="13.8" x14ac:dyDescent="0.25">
      <c r="A386" s="109"/>
      <c r="B386" s="109"/>
      <c r="C386" s="152"/>
      <c r="D386" s="153"/>
      <c r="E386" s="111"/>
      <c r="F386" s="273"/>
      <c r="G386" s="273"/>
      <c r="H386" s="273"/>
      <c r="I386" s="232"/>
      <c r="J386" s="232"/>
    </row>
    <row r="387" spans="1:10" s="1" customFormat="1" ht="27.6" x14ac:dyDescent="0.25">
      <c r="A387" s="104"/>
      <c r="C387" s="187"/>
      <c r="D387" s="182" t="s">
        <v>246</v>
      </c>
      <c r="E387" s="96"/>
      <c r="F387" s="265"/>
      <c r="G387" s="265"/>
      <c r="H387" s="265"/>
      <c r="I387" s="237"/>
      <c r="J387" s="237"/>
    </row>
    <row r="388" spans="1:10" s="1" customFormat="1" ht="13.8" x14ac:dyDescent="0.25">
      <c r="A388" s="104"/>
      <c r="C388" s="187"/>
      <c r="D388" s="218" t="s">
        <v>195</v>
      </c>
      <c r="E388" s="195"/>
      <c r="F388" s="294"/>
      <c r="G388" s="294"/>
      <c r="H388" s="266"/>
      <c r="I388" s="238"/>
      <c r="J388" s="238"/>
    </row>
    <row r="389" spans="1:10" s="1" customFormat="1" ht="13.8" x14ac:dyDescent="0.25">
      <c r="A389" s="104"/>
      <c r="C389" s="187"/>
      <c r="D389" s="253" t="s">
        <v>333</v>
      </c>
      <c r="E389" s="177">
        <f>SUM(E390+E393)</f>
        <v>110000</v>
      </c>
      <c r="F389" s="260">
        <f>SUM(F390+F393)</f>
        <v>100000</v>
      </c>
      <c r="G389" s="260">
        <f>SUM(G390+G393)</f>
        <v>50000</v>
      </c>
      <c r="H389" s="260">
        <f>SUM(H390+H393)</f>
        <v>50000</v>
      </c>
      <c r="I389" s="312">
        <f>AVERAGE(G389/F389*100)</f>
        <v>50</v>
      </c>
      <c r="J389" s="312">
        <f>AVERAGE(H389/G389*100)</f>
        <v>100</v>
      </c>
    </row>
    <row r="390" spans="1:10" s="112" customFormat="1" ht="13.8" x14ac:dyDescent="0.25">
      <c r="A390" s="105" t="s">
        <v>312</v>
      </c>
      <c r="B390" s="101"/>
      <c r="C390" s="143">
        <v>38</v>
      </c>
      <c r="D390" s="144" t="s">
        <v>128</v>
      </c>
      <c r="E390" s="103">
        <f t="shared" ref="E390:H394" si="54">SUM(E391)</f>
        <v>10000</v>
      </c>
      <c r="F390" s="268">
        <f t="shared" si="54"/>
        <v>100000</v>
      </c>
      <c r="G390" s="268">
        <v>50000</v>
      </c>
      <c r="H390" s="268">
        <v>50000</v>
      </c>
      <c r="I390" s="310">
        <f>AVERAGE(G390/F390*100)</f>
        <v>50</v>
      </c>
      <c r="J390" s="310">
        <f>AVERAGE(H390/G390*100)</f>
        <v>100</v>
      </c>
    </row>
    <row r="391" spans="1:10" s="112" customFormat="1" ht="13.8" x14ac:dyDescent="0.25">
      <c r="A391" s="105" t="s">
        <v>312</v>
      </c>
      <c r="B391" s="101"/>
      <c r="C391" s="143">
        <v>386</v>
      </c>
      <c r="D391" s="144" t="s">
        <v>262</v>
      </c>
      <c r="E391" s="103">
        <f t="shared" si="54"/>
        <v>10000</v>
      </c>
      <c r="F391" s="268">
        <f t="shared" si="54"/>
        <v>100000</v>
      </c>
      <c r="G391" s="268"/>
      <c r="H391" s="268"/>
      <c r="I391" s="310">
        <f>AVERAGE(G391/F391*100)</f>
        <v>0</v>
      </c>
      <c r="J391" s="310"/>
    </row>
    <row r="392" spans="1:10" s="112" customFormat="1" ht="13.8" hidden="1" x14ac:dyDescent="0.25">
      <c r="A392" s="105" t="s">
        <v>312</v>
      </c>
      <c r="B392" s="105">
        <v>90</v>
      </c>
      <c r="C392" s="145">
        <v>3862</v>
      </c>
      <c r="D392" s="146" t="s">
        <v>263</v>
      </c>
      <c r="E392" s="107">
        <v>10000</v>
      </c>
      <c r="F392" s="271">
        <v>100000</v>
      </c>
      <c r="G392" s="271"/>
      <c r="H392" s="271"/>
      <c r="I392" s="310">
        <f>AVERAGE(G392/F392*100)</f>
        <v>0</v>
      </c>
      <c r="J392" s="310"/>
    </row>
    <row r="393" spans="1:10" s="112" customFormat="1" ht="13.8" x14ac:dyDescent="0.25">
      <c r="A393" s="105" t="s">
        <v>312</v>
      </c>
      <c r="B393" s="101"/>
      <c r="C393" s="143">
        <v>42</v>
      </c>
      <c r="D393" s="144" t="s">
        <v>250</v>
      </c>
      <c r="E393" s="103">
        <f t="shared" si="54"/>
        <v>100000</v>
      </c>
      <c r="F393" s="268">
        <f t="shared" si="54"/>
        <v>0</v>
      </c>
      <c r="G393" s="268">
        <f t="shared" si="54"/>
        <v>0</v>
      </c>
      <c r="H393" s="268">
        <f t="shared" si="54"/>
        <v>0</v>
      </c>
      <c r="I393" s="310">
        <v>0</v>
      </c>
      <c r="J393" s="310">
        <v>0</v>
      </c>
    </row>
    <row r="394" spans="1:10" s="112" customFormat="1" ht="13.8" x14ac:dyDescent="0.25">
      <c r="A394" s="105" t="s">
        <v>312</v>
      </c>
      <c r="B394" s="101"/>
      <c r="C394" s="143">
        <v>421</v>
      </c>
      <c r="D394" s="144" t="s">
        <v>97</v>
      </c>
      <c r="E394" s="103">
        <f t="shared" si="54"/>
        <v>100000</v>
      </c>
      <c r="F394" s="268">
        <f t="shared" si="54"/>
        <v>0</v>
      </c>
      <c r="G394" s="268"/>
      <c r="H394" s="268"/>
      <c r="I394" s="310"/>
      <c r="J394" s="310"/>
    </row>
    <row r="395" spans="1:10" s="112" customFormat="1" ht="13.8" hidden="1" x14ac:dyDescent="0.25">
      <c r="A395" s="105" t="s">
        <v>312</v>
      </c>
      <c r="B395" s="105">
        <v>91</v>
      </c>
      <c r="C395" s="145">
        <v>4214</v>
      </c>
      <c r="D395" s="146" t="s">
        <v>251</v>
      </c>
      <c r="E395" s="107">
        <v>100000</v>
      </c>
      <c r="F395" s="271">
        <v>0</v>
      </c>
      <c r="G395" s="271"/>
      <c r="H395" s="271"/>
      <c r="I395" s="310"/>
      <c r="J395" s="310"/>
    </row>
    <row r="396" spans="1:10" s="112" customFormat="1" ht="13.8" x14ac:dyDescent="0.25">
      <c r="A396" s="109"/>
      <c r="B396" s="109"/>
      <c r="C396" s="152"/>
      <c r="D396" s="153"/>
      <c r="E396" s="111"/>
      <c r="F396" s="273"/>
      <c r="G396" s="273"/>
      <c r="H396" s="273"/>
      <c r="I396" s="232"/>
      <c r="J396" s="232"/>
    </row>
    <row r="397" spans="1:10" s="1" customFormat="1" ht="27.6" x14ac:dyDescent="0.25">
      <c r="C397" s="187"/>
      <c r="D397" s="182" t="s">
        <v>246</v>
      </c>
      <c r="E397" s="96"/>
      <c r="F397" s="265"/>
      <c r="G397" s="265"/>
      <c r="H397" s="265"/>
      <c r="I397" s="229"/>
      <c r="J397" s="229"/>
    </row>
    <row r="398" spans="1:10" s="1" customFormat="1" ht="13.8" x14ac:dyDescent="0.25">
      <c r="C398" s="187"/>
      <c r="D398" s="218" t="s">
        <v>252</v>
      </c>
      <c r="E398" s="98"/>
      <c r="F398" s="266"/>
      <c r="G398" s="266"/>
      <c r="H398" s="266"/>
      <c r="I398" s="230"/>
      <c r="J398" s="230"/>
    </row>
    <row r="399" spans="1:10" s="1" customFormat="1" ht="13.8" x14ac:dyDescent="0.25">
      <c r="C399" s="187"/>
      <c r="D399" s="252" t="s">
        <v>334</v>
      </c>
      <c r="E399" s="177">
        <f t="shared" ref="E399:H401" si="55">SUM(E400)</f>
        <v>50000</v>
      </c>
      <c r="F399" s="260">
        <f t="shared" si="55"/>
        <v>1000000</v>
      </c>
      <c r="G399" s="260">
        <f t="shared" si="55"/>
        <v>500000</v>
      </c>
      <c r="H399" s="260">
        <f t="shared" si="55"/>
        <v>0</v>
      </c>
      <c r="I399" s="312">
        <f>AVERAGE(G399/F399*100)</f>
        <v>50</v>
      </c>
      <c r="J399" s="312">
        <f>AVERAGE(H399/G399*100)</f>
        <v>0</v>
      </c>
    </row>
    <row r="400" spans="1:10" s="112" customFormat="1" ht="13.8" x14ac:dyDescent="0.25">
      <c r="A400" s="105" t="s">
        <v>348</v>
      </c>
      <c r="B400" s="101"/>
      <c r="C400" s="143">
        <v>42</v>
      </c>
      <c r="D400" s="144" t="s">
        <v>250</v>
      </c>
      <c r="E400" s="103">
        <f t="shared" si="55"/>
        <v>50000</v>
      </c>
      <c r="F400" s="268">
        <f t="shared" si="55"/>
        <v>1000000</v>
      </c>
      <c r="G400" s="268">
        <v>500000</v>
      </c>
      <c r="H400" s="268">
        <f t="shared" si="55"/>
        <v>0</v>
      </c>
      <c r="I400" s="310">
        <f t="shared" ref="I400:J402" si="56">AVERAGE(G400/F400*100)</f>
        <v>50</v>
      </c>
      <c r="J400" s="310">
        <f t="shared" si="56"/>
        <v>0</v>
      </c>
    </row>
    <row r="401" spans="1:10" s="112" customFormat="1" ht="13.8" x14ac:dyDescent="0.25">
      <c r="A401" s="105" t="s">
        <v>348</v>
      </c>
      <c r="B401" s="101"/>
      <c r="C401" s="143">
        <v>421</v>
      </c>
      <c r="D401" s="144" t="s">
        <v>97</v>
      </c>
      <c r="E401" s="103">
        <f t="shared" si="55"/>
        <v>50000</v>
      </c>
      <c r="F401" s="268">
        <f t="shared" si="55"/>
        <v>1000000</v>
      </c>
      <c r="G401" s="268"/>
      <c r="H401" s="268"/>
      <c r="I401" s="310">
        <f t="shared" si="56"/>
        <v>0</v>
      </c>
      <c r="J401" s="310"/>
    </row>
    <row r="402" spans="1:10" s="112" customFormat="1" ht="13.8" hidden="1" x14ac:dyDescent="0.25">
      <c r="A402" s="105" t="s">
        <v>348</v>
      </c>
      <c r="B402" s="105">
        <v>92</v>
      </c>
      <c r="C402" s="145">
        <v>4214</v>
      </c>
      <c r="D402" s="146" t="s">
        <v>251</v>
      </c>
      <c r="E402" s="107">
        <v>50000</v>
      </c>
      <c r="F402" s="271">
        <v>1000000</v>
      </c>
      <c r="G402" s="271"/>
      <c r="H402" s="271"/>
      <c r="I402" s="310">
        <f t="shared" si="56"/>
        <v>0</v>
      </c>
      <c r="J402" s="310"/>
    </row>
    <row r="403" spans="1:10" s="112" customFormat="1" ht="13.8" x14ac:dyDescent="0.25">
      <c r="A403" s="109"/>
      <c r="B403" s="109"/>
      <c r="C403" s="152"/>
      <c r="D403" s="153"/>
      <c r="E403" s="111"/>
      <c r="F403" s="273"/>
      <c r="G403" s="273"/>
      <c r="H403" s="273"/>
      <c r="I403" s="232"/>
      <c r="J403" s="232"/>
    </row>
    <row r="404" spans="1:10" s="1" customFormat="1" ht="27.6" x14ac:dyDescent="0.25">
      <c r="C404" s="187"/>
      <c r="D404" s="182" t="s">
        <v>261</v>
      </c>
      <c r="E404" s="96"/>
      <c r="F404" s="265"/>
      <c r="G404" s="265"/>
      <c r="H404" s="265"/>
      <c r="I404" s="229"/>
      <c r="J404" s="229"/>
    </row>
    <row r="405" spans="1:10" s="1" customFormat="1" ht="26.4" x14ac:dyDescent="0.25">
      <c r="C405" s="187"/>
      <c r="D405" s="217" t="s">
        <v>253</v>
      </c>
      <c r="E405" s="98"/>
      <c r="F405" s="266"/>
      <c r="G405" s="266"/>
      <c r="H405" s="266"/>
      <c r="I405" s="230"/>
      <c r="J405" s="230"/>
    </row>
    <row r="406" spans="1:10" s="1" customFormat="1" ht="13.8" x14ac:dyDescent="0.25">
      <c r="C406" s="187"/>
      <c r="D406" s="253" t="s">
        <v>335</v>
      </c>
      <c r="E406" s="177">
        <f>SUM(E407)</f>
        <v>100000</v>
      </c>
      <c r="F406" s="260">
        <f>SUM(F407+F410)</f>
        <v>800000</v>
      </c>
      <c r="G406" s="260">
        <f>SUM(G407+G410)</f>
        <v>700000</v>
      </c>
      <c r="H406" s="260">
        <f>SUM(H407+H410)</f>
        <v>1200000</v>
      </c>
      <c r="I406" s="312">
        <f>AVERAGE(G406/F406*100)</f>
        <v>87.5</v>
      </c>
      <c r="J406" s="312">
        <f>AVERAGE(H406/G406*100)</f>
        <v>171.42857142857142</v>
      </c>
    </row>
    <row r="407" spans="1:10" s="112" customFormat="1" ht="13.8" x14ac:dyDescent="0.25">
      <c r="A407" s="105" t="s">
        <v>349</v>
      </c>
      <c r="B407" s="101"/>
      <c r="C407" s="143">
        <v>42</v>
      </c>
      <c r="D407" s="144" t="s">
        <v>250</v>
      </c>
      <c r="E407" s="103">
        <f>SUM(E408)</f>
        <v>100000</v>
      </c>
      <c r="F407" s="268">
        <f>SUM(F408)</f>
        <v>650000</v>
      </c>
      <c r="G407" s="268">
        <v>500000</v>
      </c>
      <c r="H407" s="268">
        <v>700000</v>
      </c>
      <c r="I407" s="310">
        <f t="shared" ref="I407:J412" si="57">AVERAGE(G407/F407*100)</f>
        <v>76.923076923076934</v>
      </c>
      <c r="J407" s="310">
        <f t="shared" si="57"/>
        <v>140</v>
      </c>
    </row>
    <row r="408" spans="1:10" s="112" customFormat="1" ht="13.8" x14ac:dyDescent="0.25">
      <c r="A408" s="105" t="s">
        <v>349</v>
      </c>
      <c r="B408" s="101"/>
      <c r="C408" s="143">
        <v>421</v>
      </c>
      <c r="D408" s="144" t="s">
        <v>97</v>
      </c>
      <c r="E408" s="103">
        <f>SUM(E409)</f>
        <v>100000</v>
      </c>
      <c r="F408" s="268">
        <f>SUM(F409)</f>
        <v>650000</v>
      </c>
      <c r="G408" s="268"/>
      <c r="H408" s="268"/>
      <c r="I408" s="310">
        <f t="shared" si="57"/>
        <v>0</v>
      </c>
      <c r="J408" s="310"/>
    </row>
    <row r="409" spans="1:10" s="112" customFormat="1" ht="13.8" hidden="1" x14ac:dyDescent="0.25">
      <c r="A409" s="105" t="s">
        <v>349</v>
      </c>
      <c r="B409" s="105">
        <v>93</v>
      </c>
      <c r="C409" s="145">
        <v>4213</v>
      </c>
      <c r="D409" s="146" t="s">
        <v>283</v>
      </c>
      <c r="E409" s="107">
        <v>100000</v>
      </c>
      <c r="F409" s="271">
        <v>650000</v>
      </c>
      <c r="G409" s="271"/>
      <c r="H409" s="271"/>
      <c r="I409" s="310">
        <f t="shared" si="57"/>
        <v>0</v>
      </c>
      <c r="J409" s="310"/>
    </row>
    <row r="410" spans="1:10" s="112" customFormat="1" ht="13.8" x14ac:dyDescent="0.25">
      <c r="A410" s="105" t="s">
        <v>349</v>
      </c>
      <c r="B410" s="101"/>
      <c r="C410" s="143">
        <v>45</v>
      </c>
      <c r="D410" s="144" t="s">
        <v>265</v>
      </c>
      <c r="E410" s="103">
        <f>SUM(E411)</f>
        <v>645000</v>
      </c>
      <c r="F410" s="268">
        <f>SUM(F411)</f>
        <v>150000</v>
      </c>
      <c r="G410" s="268">
        <v>200000</v>
      </c>
      <c r="H410" s="268">
        <v>500000</v>
      </c>
      <c r="I410" s="310">
        <f t="shared" si="57"/>
        <v>133.33333333333331</v>
      </c>
      <c r="J410" s="310">
        <f t="shared" si="57"/>
        <v>250</v>
      </c>
    </row>
    <row r="411" spans="1:10" s="112" customFormat="1" ht="13.8" x14ac:dyDescent="0.25">
      <c r="A411" s="105" t="s">
        <v>349</v>
      </c>
      <c r="B411" s="101"/>
      <c r="C411" s="143">
        <v>451</v>
      </c>
      <c r="D411" s="144" t="s">
        <v>103</v>
      </c>
      <c r="E411" s="103">
        <f>SUM(E412)</f>
        <v>645000</v>
      </c>
      <c r="F411" s="268">
        <f>SUM(F412)</f>
        <v>150000</v>
      </c>
      <c r="G411" s="268"/>
      <c r="H411" s="268"/>
      <c r="I411" s="310">
        <f t="shared" si="57"/>
        <v>0</v>
      </c>
      <c r="J411" s="310"/>
    </row>
    <row r="412" spans="1:10" s="112" customFormat="1" ht="13.8" hidden="1" x14ac:dyDescent="0.25">
      <c r="A412" s="105" t="s">
        <v>349</v>
      </c>
      <c r="B412" s="105">
        <v>94</v>
      </c>
      <c r="C412" s="145">
        <v>4511</v>
      </c>
      <c r="D412" s="146" t="s">
        <v>103</v>
      </c>
      <c r="E412" s="107">
        <v>645000</v>
      </c>
      <c r="F412" s="271">
        <v>150000</v>
      </c>
      <c r="G412" s="271"/>
      <c r="H412" s="271"/>
      <c r="I412" s="310">
        <f t="shared" si="57"/>
        <v>0</v>
      </c>
      <c r="J412" s="310"/>
    </row>
    <row r="413" spans="1:10" s="112" customFormat="1" ht="14.4" thickBot="1" x14ac:dyDescent="0.3">
      <c r="A413" s="109"/>
      <c r="B413" s="109"/>
      <c r="C413" s="152"/>
      <c r="D413" s="153"/>
      <c r="E413" s="111"/>
      <c r="F413" s="273"/>
      <c r="G413" s="273"/>
      <c r="H413" s="273"/>
      <c r="I413" s="232"/>
      <c r="J413" s="232"/>
    </row>
    <row r="414" spans="1:10" s="92" customFormat="1" ht="16.2" thickBot="1" x14ac:dyDescent="0.35">
      <c r="A414" s="776" t="s">
        <v>284</v>
      </c>
      <c r="B414" s="777"/>
      <c r="C414" s="777"/>
      <c r="D414" s="777"/>
      <c r="E414" s="201">
        <f>SUM(E418+E431+E438+E458+E465+E472)</f>
        <v>1645000</v>
      </c>
      <c r="F414" s="296">
        <f>SUM(F418+F431+F438+F448+F458+F465+F472)</f>
        <v>3510000</v>
      </c>
      <c r="G414" s="296">
        <f>SUM(G418+G431+G438+G448+G458+G465+G472)</f>
        <v>1380000</v>
      </c>
      <c r="H414" s="296">
        <f>SUM(H418+H431+H438+H448+H458+H465+H472)</f>
        <v>1570000</v>
      </c>
      <c r="I414" s="228">
        <f>AVERAGE(G414/F414*100)</f>
        <v>39.316239316239319</v>
      </c>
      <c r="J414" s="228">
        <f>AVERAGE(H414/G414*100)</f>
        <v>113.76811594202898</v>
      </c>
    </row>
    <row r="415" spans="1:10" s="104" customFormat="1" ht="13.8" x14ac:dyDescent="0.25">
      <c r="C415" s="202"/>
      <c r="D415" s="192"/>
      <c r="E415" s="175"/>
      <c r="F415" s="286"/>
      <c r="G415" s="286"/>
      <c r="H415" s="286"/>
      <c r="I415" s="227"/>
      <c r="J415" s="227"/>
    </row>
    <row r="416" spans="1:10" s="79" customFormat="1" ht="27.6" x14ac:dyDescent="0.25">
      <c r="A416" s="108"/>
      <c r="C416" s="174"/>
      <c r="D416" s="182" t="s">
        <v>246</v>
      </c>
      <c r="E416" s="96"/>
      <c r="F416" s="265"/>
      <c r="G416" s="265"/>
      <c r="H416" s="265"/>
      <c r="I416" s="237"/>
      <c r="J416" s="237"/>
    </row>
    <row r="417" spans="1:10" s="1" customFormat="1" ht="14.25" customHeight="1" x14ac:dyDescent="0.25">
      <c r="C417" s="187"/>
      <c r="D417" s="218" t="s">
        <v>195</v>
      </c>
      <c r="E417" s="195"/>
      <c r="F417" s="266"/>
      <c r="G417" s="294"/>
      <c r="H417" s="294"/>
      <c r="I417" s="238"/>
      <c r="J417" s="238"/>
    </row>
    <row r="418" spans="1:10" s="1" customFormat="1" ht="13.8" x14ac:dyDescent="0.25">
      <c r="C418" s="187"/>
      <c r="D418" s="253" t="s">
        <v>336</v>
      </c>
      <c r="E418" s="177">
        <f>SUM(E419+E424)</f>
        <v>0</v>
      </c>
      <c r="F418" s="260">
        <f>SUM(F419+F424)</f>
        <v>160000</v>
      </c>
      <c r="G418" s="260">
        <f>SUM(G419+G424)</f>
        <v>150000</v>
      </c>
      <c r="H418" s="260">
        <f>SUM(H419+H424)</f>
        <v>100000</v>
      </c>
      <c r="I418" s="312">
        <f>AVERAGE(G418/F418*100)</f>
        <v>93.75</v>
      </c>
      <c r="J418" s="312">
        <f>AVERAGE(H418/G418*100)</f>
        <v>66.666666666666657</v>
      </c>
    </row>
    <row r="419" spans="1:10" s="112" customFormat="1" ht="13.8" x14ac:dyDescent="0.25">
      <c r="A419" s="105" t="s">
        <v>313</v>
      </c>
      <c r="B419" s="101"/>
      <c r="C419" s="143">
        <v>32</v>
      </c>
      <c r="D419" s="144" t="s">
        <v>47</v>
      </c>
      <c r="E419" s="103">
        <f>SUM(E420+E422)</f>
        <v>0</v>
      </c>
      <c r="F419" s="268">
        <f>SUM(F420+F422)</f>
        <v>85000</v>
      </c>
      <c r="G419" s="268">
        <v>50000</v>
      </c>
      <c r="H419" s="268">
        <v>50000</v>
      </c>
      <c r="I419" s="310">
        <f t="shared" ref="I419:J426" si="58">AVERAGE(G419/F419*100)</f>
        <v>58.82352941176471</v>
      </c>
      <c r="J419" s="310">
        <f t="shared" si="58"/>
        <v>100</v>
      </c>
    </row>
    <row r="420" spans="1:10" s="112" customFormat="1" ht="13.8" x14ac:dyDescent="0.25">
      <c r="A420" s="105" t="s">
        <v>313</v>
      </c>
      <c r="B420" s="101"/>
      <c r="C420" s="143">
        <v>322</v>
      </c>
      <c r="D420" s="144" t="s">
        <v>52</v>
      </c>
      <c r="E420" s="103">
        <f>SUM(E421)</f>
        <v>0</v>
      </c>
      <c r="F420" s="268">
        <f>SUM(F421)</f>
        <v>15000</v>
      </c>
      <c r="G420" s="268"/>
      <c r="H420" s="268"/>
      <c r="I420" s="310">
        <f t="shared" si="58"/>
        <v>0</v>
      </c>
      <c r="J420" s="310"/>
    </row>
    <row r="421" spans="1:10" s="112" customFormat="1" ht="13.8" hidden="1" x14ac:dyDescent="0.25">
      <c r="A421" s="105" t="s">
        <v>313</v>
      </c>
      <c r="B421" s="214">
        <v>95</v>
      </c>
      <c r="C421" s="145">
        <v>3224</v>
      </c>
      <c r="D421" s="146" t="s">
        <v>189</v>
      </c>
      <c r="E421" s="203">
        <v>0</v>
      </c>
      <c r="F421" s="271">
        <v>15000</v>
      </c>
      <c r="G421" s="271"/>
      <c r="H421" s="271"/>
      <c r="I421" s="310">
        <f t="shared" si="58"/>
        <v>0</v>
      </c>
      <c r="J421" s="310"/>
    </row>
    <row r="422" spans="1:10" s="112" customFormat="1" ht="13.8" x14ac:dyDescent="0.25">
      <c r="A422" s="105" t="s">
        <v>313</v>
      </c>
      <c r="B422" s="101"/>
      <c r="C422" s="143">
        <v>323</v>
      </c>
      <c r="D422" s="144" t="s">
        <v>56</v>
      </c>
      <c r="E422" s="103">
        <f>SUM(E423)</f>
        <v>0</v>
      </c>
      <c r="F422" s="268">
        <f>SUM(F423)</f>
        <v>70000</v>
      </c>
      <c r="G422" s="268"/>
      <c r="H422" s="268"/>
      <c r="I422" s="310">
        <f t="shared" si="58"/>
        <v>0</v>
      </c>
      <c r="J422" s="310"/>
    </row>
    <row r="423" spans="1:10" s="112" customFormat="1" ht="13.8" hidden="1" x14ac:dyDescent="0.25">
      <c r="A423" s="105" t="s">
        <v>313</v>
      </c>
      <c r="B423" s="105">
        <v>96</v>
      </c>
      <c r="C423" s="145">
        <v>3232</v>
      </c>
      <c r="D423" s="146" t="s">
        <v>242</v>
      </c>
      <c r="E423" s="107">
        <v>0</v>
      </c>
      <c r="F423" s="271">
        <v>70000</v>
      </c>
      <c r="G423" s="271"/>
      <c r="H423" s="271"/>
      <c r="I423" s="310">
        <f t="shared" si="58"/>
        <v>0</v>
      </c>
      <c r="J423" s="310"/>
    </row>
    <row r="424" spans="1:10" s="112" customFormat="1" ht="13.8" x14ac:dyDescent="0.25">
      <c r="A424" s="105" t="s">
        <v>313</v>
      </c>
      <c r="B424" s="101"/>
      <c r="C424" s="143">
        <v>42</v>
      </c>
      <c r="D424" s="144" t="s">
        <v>250</v>
      </c>
      <c r="E424" s="103">
        <f>SUM(E425)</f>
        <v>0</v>
      </c>
      <c r="F424" s="268">
        <f>SUM(F425)</f>
        <v>75000</v>
      </c>
      <c r="G424" s="268">
        <v>100000</v>
      </c>
      <c r="H424" s="268">
        <v>50000</v>
      </c>
      <c r="I424" s="310">
        <f t="shared" si="58"/>
        <v>133.33333333333331</v>
      </c>
      <c r="J424" s="310">
        <f t="shared" si="58"/>
        <v>50</v>
      </c>
    </row>
    <row r="425" spans="1:10" s="112" customFormat="1" ht="13.8" x14ac:dyDescent="0.25">
      <c r="A425" s="105" t="s">
        <v>313</v>
      </c>
      <c r="B425" s="101"/>
      <c r="C425" s="143">
        <v>422</v>
      </c>
      <c r="D425" s="144" t="s">
        <v>99</v>
      </c>
      <c r="E425" s="103">
        <f>SUM(E426)</f>
        <v>0</v>
      </c>
      <c r="F425" s="268">
        <f>SUM(F426)</f>
        <v>75000</v>
      </c>
      <c r="G425" s="268"/>
      <c r="H425" s="268"/>
      <c r="I425" s="310">
        <f t="shared" si="58"/>
        <v>0</v>
      </c>
      <c r="J425" s="310"/>
    </row>
    <row r="426" spans="1:10" s="112" customFormat="1" ht="13.8" hidden="1" x14ac:dyDescent="0.25">
      <c r="A426" s="105" t="s">
        <v>313</v>
      </c>
      <c r="B426" s="105">
        <v>97</v>
      </c>
      <c r="C426" s="145">
        <v>4227</v>
      </c>
      <c r="D426" s="146" t="s">
        <v>102</v>
      </c>
      <c r="E426" s="107">
        <v>0</v>
      </c>
      <c r="F426" s="271">
        <v>75000</v>
      </c>
      <c r="G426" s="271"/>
      <c r="H426" s="271"/>
      <c r="I426" s="310">
        <f t="shared" si="58"/>
        <v>0</v>
      </c>
      <c r="J426" s="310"/>
    </row>
    <row r="427" spans="1:10" s="112" customFormat="1" ht="13.8" x14ac:dyDescent="0.25">
      <c r="A427" s="109"/>
      <c r="B427" s="109"/>
      <c r="C427" s="152"/>
      <c r="D427" s="153"/>
      <c r="E427" s="111"/>
      <c r="F427" s="273"/>
      <c r="G427" s="273"/>
      <c r="H427" s="273"/>
      <c r="I427" s="232"/>
      <c r="J427" s="232"/>
    </row>
    <row r="428" spans="1:10" s="108" customFormat="1" ht="15" x14ac:dyDescent="0.25">
      <c r="C428" s="174"/>
      <c r="D428" s="198"/>
      <c r="E428" s="199"/>
      <c r="F428" s="295"/>
      <c r="G428" s="295"/>
      <c r="H428" s="295"/>
      <c r="I428" s="227"/>
      <c r="J428" s="227"/>
    </row>
    <row r="429" spans="1:10" s="79" customFormat="1" ht="30" customHeight="1" x14ac:dyDescent="0.25">
      <c r="A429" s="108"/>
      <c r="C429" s="174"/>
      <c r="D429" s="182" t="s">
        <v>246</v>
      </c>
      <c r="E429" s="96"/>
      <c r="F429" s="265"/>
      <c r="G429" s="265"/>
      <c r="H429" s="265"/>
      <c r="I429" s="237"/>
      <c r="J429" s="237"/>
    </row>
    <row r="430" spans="1:10" s="1" customFormat="1" ht="14.25" customHeight="1" x14ac:dyDescent="0.25">
      <c r="C430" s="187"/>
      <c r="D430" s="218" t="s">
        <v>254</v>
      </c>
      <c r="E430" s="195"/>
      <c r="F430" s="266"/>
      <c r="G430" s="294"/>
      <c r="H430" s="294"/>
      <c r="I430" s="238"/>
      <c r="J430" s="238"/>
    </row>
    <row r="431" spans="1:10" s="1" customFormat="1" ht="13.8" x14ac:dyDescent="0.25">
      <c r="C431" s="187"/>
      <c r="D431" s="252" t="s">
        <v>337</v>
      </c>
      <c r="E431" s="177">
        <f t="shared" ref="E431:H433" si="59">SUM(E432)</f>
        <v>350000</v>
      </c>
      <c r="F431" s="260">
        <f t="shared" si="59"/>
        <v>1000000</v>
      </c>
      <c r="G431" s="260">
        <f t="shared" si="59"/>
        <v>500000</v>
      </c>
      <c r="H431" s="260">
        <f t="shared" si="59"/>
        <v>200000</v>
      </c>
      <c r="I431" s="312">
        <f>AVERAGE(G431/F431*100)</f>
        <v>50</v>
      </c>
      <c r="J431" s="312">
        <f>AVERAGE(H431/G431*100)</f>
        <v>40</v>
      </c>
    </row>
    <row r="432" spans="1:10" s="112" customFormat="1" ht="13.8" x14ac:dyDescent="0.25">
      <c r="A432" s="105" t="s">
        <v>350</v>
      </c>
      <c r="B432" s="101"/>
      <c r="C432" s="143">
        <v>42</v>
      </c>
      <c r="D432" s="144" t="s">
        <v>250</v>
      </c>
      <c r="E432" s="103">
        <f t="shared" si="59"/>
        <v>350000</v>
      </c>
      <c r="F432" s="268">
        <f t="shared" si="59"/>
        <v>1000000</v>
      </c>
      <c r="G432" s="268">
        <v>500000</v>
      </c>
      <c r="H432" s="268">
        <v>200000</v>
      </c>
      <c r="I432" s="310">
        <f t="shared" ref="I432:J434" si="60">AVERAGE(G432/F432*100)</f>
        <v>50</v>
      </c>
      <c r="J432" s="310">
        <f t="shared" si="60"/>
        <v>40</v>
      </c>
    </row>
    <row r="433" spans="1:10" s="112" customFormat="1" ht="13.8" x14ac:dyDescent="0.25">
      <c r="A433" s="105" t="s">
        <v>350</v>
      </c>
      <c r="B433" s="101"/>
      <c r="C433" s="143">
        <v>421</v>
      </c>
      <c r="D433" s="144" t="s">
        <v>97</v>
      </c>
      <c r="E433" s="103">
        <f t="shared" si="59"/>
        <v>350000</v>
      </c>
      <c r="F433" s="268">
        <f t="shared" si="59"/>
        <v>1000000</v>
      </c>
      <c r="G433" s="268"/>
      <c r="H433" s="268"/>
      <c r="I433" s="310">
        <f t="shared" si="60"/>
        <v>0</v>
      </c>
      <c r="J433" s="310"/>
    </row>
    <row r="434" spans="1:10" s="112" customFormat="1" ht="13.8" hidden="1" x14ac:dyDescent="0.25">
      <c r="A434" s="105" t="s">
        <v>350</v>
      </c>
      <c r="B434" s="105">
        <v>98</v>
      </c>
      <c r="C434" s="145">
        <v>4212</v>
      </c>
      <c r="D434" s="146" t="s">
        <v>98</v>
      </c>
      <c r="E434" s="107">
        <v>350000</v>
      </c>
      <c r="F434" s="271">
        <v>1000000</v>
      </c>
      <c r="G434" s="271"/>
      <c r="H434" s="271"/>
      <c r="I434" s="310">
        <f t="shared" si="60"/>
        <v>0</v>
      </c>
      <c r="J434" s="310"/>
    </row>
    <row r="435" spans="1:10" s="112" customFormat="1" ht="13.8" x14ac:dyDescent="0.25">
      <c r="A435" s="109"/>
      <c r="B435" s="109"/>
      <c r="C435" s="152"/>
      <c r="D435" s="153"/>
      <c r="E435" s="111"/>
      <c r="F435" s="273"/>
      <c r="G435" s="273"/>
      <c r="H435" s="273"/>
      <c r="I435" s="232"/>
      <c r="J435" s="232"/>
    </row>
    <row r="436" spans="1:10" s="1" customFormat="1" ht="13.8" x14ac:dyDescent="0.25">
      <c r="C436" s="187"/>
      <c r="D436" s="193" t="s">
        <v>342</v>
      </c>
      <c r="E436" s="96"/>
      <c r="F436" s="265"/>
      <c r="G436" s="265"/>
      <c r="H436" s="265"/>
      <c r="I436" s="237"/>
      <c r="J436" s="237"/>
    </row>
    <row r="437" spans="1:10" s="1" customFormat="1" ht="14.25" customHeight="1" x14ac:dyDescent="0.25">
      <c r="C437" s="187"/>
      <c r="D437" s="218" t="s">
        <v>195</v>
      </c>
      <c r="E437" s="98"/>
      <c r="F437" s="266"/>
      <c r="G437" s="294"/>
      <c r="H437" s="266"/>
      <c r="I437" s="238"/>
      <c r="J437" s="238"/>
    </row>
    <row r="438" spans="1:10" s="1" customFormat="1" ht="13.8" x14ac:dyDescent="0.25">
      <c r="C438" s="187"/>
      <c r="D438" s="253" t="s">
        <v>338</v>
      </c>
      <c r="E438" s="177">
        <f>SUM(E439+E442)</f>
        <v>645000</v>
      </c>
      <c r="F438" s="260">
        <f>SUM(F439+F442)</f>
        <v>1300000</v>
      </c>
      <c r="G438" s="260">
        <f>SUM(G439+G442)</f>
        <v>150000</v>
      </c>
      <c r="H438" s="260">
        <f>SUM(H439+H442)</f>
        <v>10000</v>
      </c>
      <c r="I438" s="312">
        <f>AVERAGE(G438/F438*100)</f>
        <v>11.538461538461538</v>
      </c>
      <c r="J438" s="312">
        <f>AVERAGE(H438/G438*100)</f>
        <v>6.666666666666667</v>
      </c>
    </row>
    <row r="439" spans="1:10" s="112" customFormat="1" ht="13.8" x14ac:dyDescent="0.25">
      <c r="A439" s="105" t="s">
        <v>351</v>
      </c>
      <c r="B439" s="101"/>
      <c r="C439" s="143">
        <v>32</v>
      </c>
      <c r="D439" s="144" t="s">
        <v>47</v>
      </c>
      <c r="E439" s="103">
        <f>SUM(E440)</f>
        <v>0</v>
      </c>
      <c r="F439" s="268">
        <f>SUM(F440)</f>
        <v>300000</v>
      </c>
      <c r="G439" s="268">
        <v>50000</v>
      </c>
      <c r="H439" s="268">
        <v>10000</v>
      </c>
      <c r="I439" s="310">
        <f t="shared" ref="I439:J444" si="61">AVERAGE(G439/F439*100)</f>
        <v>16.666666666666664</v>
      </c>
      <c r="J439" s="310">
        <f t="shared" si="61"/>
        <v>20</v>
      </c>
    </row>
    <row r="440" spans="1:10" s="112" customFormat="1" ht="13.8" x14ac:dyDescent="0.25">
      <c r="A440" s="105" t="s">
        <v>351</v>
      </c>
      <c r="B440" s="101"/>
      <c r="C440" s="143">
        <v>323</v>
      </c>
      <c r="D440" s="144" t="s">
        <v>56</v>
      </c>
      <c r="E440" s="103">
        <f>SUM(E441)</f>
        <v>0</v>
      </c>
      <c r="F440" s="268">
        <f>SUM(F441)</f>
        <v>300000</v>
      </c>
      <c r="G440" s="268"/>
      <c r="H440" s="268"/>
      <c r="I440" s="310">
        <f t="shared" si="61"/>
        <v>0</v>
      </c>
      <c r="J440" s="310"/>
    </row>
    <row r="441" spans="1:10" s="112" customFormat="1" ht="13.8" hidden="1" x14ac:dyDescent="0.25">
      <c r="A441" s="105" t="s">
        <v>351</v>
      </c>
      <c r="B441" s="105">
        <v>99</v>
      </c>
      <c r="C441" s="145">
        <v>3232</v>
      </c>
      <c r="D441" s="146" t="s">
        <v>242</v>
      </c>
      <c r="E441" s="107">
        <v>0</v>
      </c>
      <c r="F441" s="271">
        <v>300000</v>
      </c>
      <c r="G441" s="271"/>
      <c r="H441" s="271"/>
      <c r="I441" s="310">
        <f t="shared" si="61"/>
        <v>0</v>
      </c>
      <c r="J441" s="310"/>
    </row>
    <row r="442" spans="1:10" s="112" customFormat="1" ht="13.8" x14ac:dyDescent="0.25">
      <c r="A442" s="105" t="s">
        <v>351</v>
      </c>
      <c r="B442" s="101"/>
      <c r="C442" s="143">
        <v>45</v>
      </c>
      <c r="D442" s="144" t="s">
        <v>265</v>
      </c>
      <c r="E442" s="103">
        <f t="shared" ref="E442:H443" si="62">SUM(E443)</f>
        <v>645000</v>
      </c>
      <c r="F442" s="268">
        <f t="shared" si="62"/>
        <v>1000000</v>
      </c>
      <c r="G442" s="268">
        <v>100000</v>
      </c>
      <c r="H442" s="268">
        <f t="shared" si="62"/>
        <v>0</v>
      </c>
      <c r="I442" s="310">
        <f t="shared" si="61"/>
        <v>10</v>
      </c>
      <c r="J442" s="310">
        <f t="shared" si="61"/>
        <v>0</v>
      </c>
    </row>
    <row r="443" spans="1:10" s="112" customFormat="1" ht="13.8" x14ac:dyDescent="0.25">
      <c r="A443" s="105" t="s">
        <v>351</v>
      </c>
      <c r="B443" s="101"/>
      <c r="C443" s="143">
        <v>451</v>
      </c>
      <c r="D443" s="144" t="s">
        <v>103</v>
      </c>
      <c r="E443" s="103">
        <f t="shared" si="62"/>
        <v>645000</v>
      </c>
      <c r="F443" s="268">
        <f t="shared" si="62"/>
        <v>1000000</v>
      </c>
      <c r="G443" s="268"/>
      <c r="H443" s="268"/>
      <c r="I443" s="310">
        <f t="shared" si="61"/>
        <v>0</v>
      </c>
      <c r="J443" s="310"/>
    </row>
    <row r="444" spans="1:10" s="112" customFormat="1" ht="13.8" hidden="1" x14ac:dyDescent="0.25">
      <c r="A444" s="105" t="s">
        <v>351</v>
      </c>
      <c r="B444" s="105">
        <v>100</v>
      </c>
      <c r="C444" s="145">
        <v>4511</v>
      </c>
      <c r="D444" s="146" t="s">
        <v>103</v>
      </c>
      <c r="E444" s="107">
        <v>645000</v>
      </c>
      <c r="F444" s="271">
        <v>1000000</v>
      </c>
      <c r="G444" s="271"/>
      <c r="H444" s="271"/>
      <c r="I444" s="310">
        <f t="shared" si="61"/>
        <v>0</v>
      </c>
      <c r="J444" s="310"/>
    </row>
    <row r="445" spans="1:10" s="112" customFormat="1" ht="13.8" x14ac:dyDescent="0.25">
      <c r="A445" s="109"/>
      <c r="B445" s="109"/>
      <c r="C445" s="152"/>
      <c r="D445" s="153"/>
      <c r="E445" s="111"/>
      <c r="F445" s="273"/>
      <c r="G445" s="273"/>
      <c r="H445" s="273"/>
      <c r="I445" s="232"/>
      <c r="J445" s="232"/>
    </row>
    <row r="446" spans="1:10" s="79" customFormat="1" ht="30" customHeight="1" x14ac:dyDescent="0.25">
      <c r="A446" s="108"/>
      <c r="C446" s="174"/>
      <c r="D446" s="182" t="s">
        <v>246</v>
      </c>
      <c r="E446" s="96"/>
      <c r="F446" s="265"/>
      <c r="G446" s="265"/>
      <c r="H446" s="265"/>
      <c r="I446" s="237"/>
      <c r="J446" s="237"/>
    </row>
    <row r="447" spans="1:10" s="1" customFormat="1" ht="14.25" customHeight="1" x14ac:dyDescent="0.25">
      <c r="C447" s="187"/>
      <c r="D447" s="218" t="s">
        <v>254</v>
      </c>
      <c r="E447" s="195"/>
      <c r="F447" s="266"/>
      <c r="G447" s="294"/>
      <c r="H447" s="294"/>
      <c r="I447" s="238"/>
      <c r="J447" s="238"/>
    </row>
    <row r="448" spans="1:10" s="1" customFormat="1" ht="13.8" x14ac:dyDescent="0.25">
      <c r="C448" s="187"/>
      <c r="D448" s="252" t="s">
        <v>353</v>
      </c>
      <c r="E448" s="177">
        <f>SUM(E449+E452)</f>
        <v>0</v>
      </c>
      <c r="F448" s="260">
        <f>SUM(F449+F452)</f>
        <v>300000</v>
      </c>
      <c r="G448" s="260">
        <f>SUM(G449+G452)</f>
        <v>100000</v>
      </c>
      <c r="H448" s="260">
        <f>SUM(H449+H452)</f>
        <v>1000000</v>
      </c>
      <c r="I448" s="312">
        <f>AVERAGE(G448/F448*100)</f>
        <v>33.333333333333329</v>
      </c>
      <c r="J448" s="312">
        <f>AVERAGE(H448/G448*100)</f>
        <v>1000</v>
      </c>
    </row>
    <row r="449" spans="1:10" s="130" customFormat="1" ht="13.8" x14ac:dyDescent="0.25">
      <c r="A449" s="214" t="s">
        <v>352</v>
      </c>
      <c r="B449" s="101"/>
      <c r="C449" s="143">
        <v>41</v>
      </c>
      <c r="D449" s="144" t="s">
        <v>248</v>
      </c>
      <c r="E449" s="103">
        <f t="shared" ref="E449:H450" si="63">SUM(E450)</f>
        <v>0</v>
      </c>
      <c r="F449" s="268">
        <f t="shared" si="63"/>
        <v>250000</v>
      </c>
      <c r="G449" s="268">
        <f t="shared" si="63"/>
        <v>0</v>
      </c>
      <c r="H449" s="268">
        <f t="shared" si="63"/>
        <v>0</v>
      </c>
      <c r="I449" s="310">
        <f t="shared" ref="I449:J454" si="64">AVERAGE(G449/F449*100)</f>
        <v>0</v>
      </c>
      <c r="J449" s="310"/>
    </row>
    <row r="450" spans="1:10" s="112" customFormat="1" ht="13.8" x14ac:dyDescent="0.25">
      <c r="A450" s="214" t="s">
        <v>352</v>
      </c>
      <c r="B450" s="101"/>
      <c r="C450" s="143">
        <v>411</v>
      </c>
      <c r="D450" s="144" t="s">
        <v>95</v>
      </c>
      <c r="E450" s="103">
        <f t="shared" si="63"/>
        <v>0</v>
      </c>
      <c r="F450" s="268">
        <f t="shared" si="63"/>
        <v>250000</v>
      </c>
      <c r="G450" s="268"/>
      <c r="H450" s="268"/>
      <c r="I450" s="310">
        <f t="shared" si="64"/>
        <v>0</v>
      </c>
      <c r="J450" s="310"/>
    </row>
    <row r="451" spans="1:10" s="112" customFormat="1" ht="13.8" hidden="1" x14ac:dyDescent="0.25">
      <c r="A451" s="214" t="s">
        <v>352</v>
      </c>
      <c r="B451" s="105">
        <v>101</v>
      </c>
      <c r="C451" s="145">
        <v>4111</v>
      </c>
      <c r="D451" s="146" t="s">
        <v>40</v>
      </c>
      <c r="E451" s="107">
        <v>0</v>
      </c>
      <c r="F451" s="271">
        <v>250000</v>
      </c>
      <c r="G451" s="271"/>
      <c r="H451" s="271"/>
      <c r="I451" s="310">
        <f t="shared" si="64"/>
        <v>0</v>
      </c>
      <c r="J451" s="310"/>
    </row>
    <row r="452" spans="1:10" s="112" customFormat="1" ht="13.8" x14ac:dyDescent="0.25">
      <c r="A452" s="214" t="s">
        <v>352</v>
      </c>
      <c r="B452" s="101"/>
      <c r="C452" s="143">
        <v>42</v>
      </c>
      <c r="D452" s="144" t="s">
        <v>250</v>
      </c>
      <c r="E452" s="103">
        <f>SUM(E453)</f>
        <v>0</v>
      </c>
      <c r="F452" s="268">
        <f>SUM(F453)</f>
        <v>50000</v>
      </c>
      <c r="G452" s="268">
        <v>100000</v>
      </c>
      <c r="H452" s="268">
        <v>1000000</v>
      </c>
      <c r="I452" s="310">
        <f t="shared" si="64"/>
        <v>200</v>
      </c>
      <c r="J452" s="310">
        <f t="shared" si="64"/>
        <v>1000</v>
      </c>
    </row>
    <row r="453" spans="1:10" s="112" customFormat="1" ht="13.8" x14ac:dyDescent="0.25">
      <c r="A453" s="214" t="s">
        <v>352</v>
      </c>
      <c r="B453" s="101"/>
      <c r="C453" s="143">
        <v>421</v>
      </c>
      <c r="D453" s="144" t="s">
        <v>97</v>
      </c>
      <c r="E453" s="103">
        <f>SUM(E454)</f>
        <v>0</v>
      </c>
      <c r="F453" s="268">
        <f>SUM(F454)</f>
        <v>50000</v>
      </c>
      <c r="G453" s="268"/>
      <c r="H453" s="268"/>
      <c r="I453" s="310">
        <f t="shared" si="64"/>
        <v>0</v>
      </c>
      <c r="J453" s="310"/>
    </row>
    <row r="454" spans="1:10" s="112" customFormat="1" ht="13.8" hidden="1" x14ac:dyDescent="0.25">
      <c r="A454" s="214" t="s">
        <v>352</v>
      </c>
      <c r="B454" s="105">
        <v>102</v>
      </c>
      <c r="C454" s="145">
        <v>4214</v>
      </c>
      <c r="D454" s="146" t="s">
        <v>251</v>
      </c>
      <c r="E454" s="107">
        <v>0</v>
      </c>
      <c r="F454" s="271">
        <v>50000</v>
      </c>
      <c r="G454" s="271"/>
      <c r="H454" s="271"/>
      <c r="I454" s="310">
        <f t="shared" si="64"/>
        <v>0</v>
      </c>
      <c r="J454" s="310"/>
    </row>
    <row r="455" spans="1:10" s="112" customFormat="1" ht="13.8" x14ac:dyDescent="0.25">
      <c r="A455" s="109"/>
      <c r="B455" s="109"/>
      <c r="C455" s="152"/>
      <c r="D455" s="153"/>
      <c r="E455" s="111"/>
      <c r="F455" s="273"/>
      <c r="G455" s="273"/>
      <c r="H455" s="273"/>
      <c r="I455" s="232"/>
      <c r="J455" s="232"/>
    </row>
    <row r="456" spans="1:10" s="1" customFormat="1" ht="27.6" x14ac:dyDescent="0.25">
      <c r="C456" s="187"/>
      <c r="D456" s="182" t="s">
        <v>255</v>
      </c>
      <c r="E456" s="96"/>
      <c r="F456" s="265"/>
      <c r="G456" s="265"/>
      <c r="H456" s="265"/>
      <c r="I456" s="237"/>
      <c r="J456" s="237"/>
    </row>
    <row r="457" spans="1:10" s="1" customFormat="1" ht="13.8" x14ac:dyDescent="0.25">
      <c r="C457" s="187"/>
      <c r="D457" s="218" t="s">
        <v>256</v>
      </c>
      <c r="E457" s="98"/>
      <c r="F457" s="266"/>
      <c r="G457" s="294"/>
      <c r="H457" s="294"/>
      <c r="I457" s="238"/>
      <c r="J457" s="238"/>
    </row>
    <row r="458" spans="1:10" s="1" customFormat="1" ht="13.8" x14ac:dyDescent="0.25">
      <c r="C458" s="187"/>
      <c r="D458" s="253" t="s">
        <v>354</v>
      </c>
      <c r="E458" s="177">
        <f t="shared" ref="E458:H460" si="65">SUM(E459)</f>
        <v>500000</v>
      </c>
      <c r="F458" s="260">
        <f t="shared" si="65"/>
        <v>150000</v>
      </c>
      <c r="G458" s="260">
        <f t="shared" si="65"/>
        <v>100000</v>
      </c>
      <c r="H458" s="260">
        <f t="shared" si="65"/>
        <v>100000</v>
      </c>
      <c r="I458" s="312">
        <f>AVERAGE(G458/F458*100)</f>
        <v>66.666666666666657</v>
      </c>
      <c r="J458" s="312">
        <f>AVERAGE(H458/G458*100)</f>
        <v>100</v>
      </c>
    </row>
    <row r="459" spans="1:10" s="112" customFormat="1" ht="13.8" x14ac:dyDescent="0.25">
      <c r="A459" s="214" t="s">
        <v>355</v>
      </c>
      <c r="B459" s="101"/>
      <c r="C459" s="143">
        <v>42</v>
      </c>
      <c r="D459" s="144" t="s">
        <v>250</v>
      </c>
      <c r="E459" s="103">
        <f t="shared" si="65"/>
        <v>500000</v>
      </c>
      <c r="F459" s="268">
        <f t="shared" si="65"/>
        <v>150000</v>
      </c>
      <c r="G459" s="268">
        <v>100000</v>
      </c>
      <c r="H459" s="268">
        <v>100000</v>
      </c>
      <c r="I459" s="310">
        <f t="shared" ref="I459:J461" si="66">AVERAGE(G459/F459*100)</f>
        <v>66.666666666666657</v>
      </c>
      <c r="J459" s="310">
        <f t="shared" si="66"/>
        <v>100</v>
      </c>
    </row>
    <row r="460" spans="1:10" s="112" customFormat="1" ht="13.8" x14ac:dyDescent="0.25">
      <c r="A460" s="214" t="s">
        <v>355</v>
      </c>
      <c r="B460" s="101"/>
      <c r="C460" s="143">
        <v>421</v>
      </c>
      <c r="D460" s="144" t="s">
        <v>97</v>
      </c>
      <c r="E460" s="103">
        <f t="shared" si="65"/>
        <v>500000</v>
      </c>
      <c r="F460" s="268">
        <f t="shared" si="65"/>
        <v>150000</v>
      </c>
      <c r="G460" s="268"/>
      <c r="H460" s="268"/>
      <c r="I460" s="310">
        <f t="shared" si="66"/>
        <v>0</v>
      </c>
      <c r="J460" s="310"/>
    </row>
    <row r="461" spans="1:10" s="112" customFormat="1" ht="13.8" hidden="1" x14ac:dyDescent="0.25">
      <c r="A461" s="214" t="s">
        <v>355</v>
      </c>
      <c r="B461" s="105">
        <v>103</v>
      </c>
      <c r="C461" s="145">
        <v>4214</v>
      </c>
      <c r="D461" s="146" t="s">
        <v>251</v>
      </c>
      <c r="E461" s="107">
        <v>500000</v>
      </c>
      <c r="F461" s="271">
        <v>150000</v>
      </c>
      <c r="G461" s="271"/>
      <c r="H461" s="271"/>
      <c r="I461" s="310">
        <f t="shared" si="66"/>
        <v>0</v>
      </c>
      <c r="J461" s="310"/>
    </row>
    <row r="462" spans="1:10" s="112" customFormat="1" ht="13.8" x14ac:dyDescent="0.25">
      <c r="A462" s="204"/>
      <c r="B462" s="109"/>
      <c r="C462" s="152"/>
      <c r="D462" s="153"/>
      <c r="E462" s="111"/>
      <c r="F462" s="273"/>
      <c r="G462" s="273"/>
      <c r="H462" s="273"/>
      <c r="I462" s="232"/>
      <c r="J462" s="232"/>
    </row>
    <row r="463" spans="1:10" s="1" customFormat="1" ht="13.8" x14ac:dyDescent="0.25">
      <c r="C463" s="187"/>
      <c r="D463" s="193" t="s">
        <v>257</v>
      </c>
      <c r="E463" s="96"/>
      <c r="F463" s="265"/>
      <c r="G463" s="265"/>
      <c r="H463" s="265"/>
      <c r="I463" s="237"/>
      <c r="J463" s="237"/>
    </row>
    <row r="464" spans="1:10" s="1" customFormat="1" ht="14.25" customHeight="1" x14ac:dyDescent="0.25">
      <c r="C464" s="187"/>
      <c r="D464" s="217" t="s">
        <v>289</v>
      </c>
      <c r="E464" s="98"/>
      <c r="F464" s="266"/>
      <c r="G464" s="294"/>
      <c r="H464" s="294"/>
      <c r="I464" s="238"/>
      <c r="J464" s="238"/>
    </row>
    <row r="465" spans="1:10" s="1" customFormat="1" ht="13.8" x14ac:dyDescent="0.25">
      <c r="C465" s="187"/>
      <c r="D465" s="253" t="s">
        <v>356</v>
      </c>
      <c r="E465" s="177">
        <f t="shared" ref="E465:H467" si="67">SUM(E466)</f>
        <v>50000</v>
      </c>
      <c r="F465" s="260">
        <f t="shared" si="67"/>
        <v>500000</v>
      </c>
      <c r="G465" s="260">
        <f t="shared" si="67"/>
        <v>300000</v>
      </c>
      <c r="H465" s="260">
        <f t="shared" si="67"/>
        <v>100000</v>
      </c>
      <c r="I465" s="312">
        <f>AVERAGE(G465/F465*100)</f>
        <v>60</v>
      </c>
      <c r="J465" s="312">
        <f>AVERAGE(H465/G465*100)</f>
        <v>33.333333333333329</v>
      </c>
    </row>
    <row r="466" spans="1:10" s="112" customFormat="1" ht="13.8" x14ac:dyDescent="0.25">
      <c r="A466" s="214" t="s">
        <v>357</v>
      </c>
      <c r="B466" s="101"/>
      <c r="C466" s="143">
        <v>42</v>
      </c>
      <c r="D466" s="144" t="s">
        <v>250</v>
      </c>
      <c r="E466" s="103">
        <f t="shared" si="67"/>
        <v>50000</v>
      </c>
      <c r="F466" s="268">
        <f t="shared" si="67"/>
        <v>500000</v>
      </c>
      <c r="G466" s="268">
        <v>300000</v>
      </c>
      <c r="H466" s="268">
        <v>100000</v>
      </c>
      <c r="I466" s="310">
        <f t="shared" ref="I466:J468" si="68">AVERAGE(G466/F466*100)</f>
        <v>60</v>
      </c>
      <c r="J466" s="310">
        <f t="shared" si="68"/>
        <v>33.333333333333329</v>
      </c>
    </row>
    <row r="467" spans="1:10" s="112" customFormat="1" ht="13.8" x14ac:dyDescent="0.25">
      <c r="A467" s="214" t="s">
        <v>357</v>
      </c>
      <c r="B467" s="101"/>
      <c r="C467" s="143">
        <v>421</v>
      </c>
      <c r="D467" s="144" t="s">
        <v>97</v>
      </c>
      <c r="E467" s="103">
        <f t="shared" si="67"/>
        <v>50000</v>
      </c>
      <c r="F467" s="268">
        <f t="shared" si="67"/>
        <v>500000</v>
      </c>
      <c r="G467" s="268"/>
      <c r="H467" s="268"/>
      <c r="I467" s="310">
        <f t="shared" si="68"/>
        <v>0</v>
      </c>
      <c r="J467" s="310"/>
    </row>
    <row r="468" spans="1:10" s="112" customFormat="1" ht="13.8" hidden="1" x14ac:dyDescent="0.25">
      <c r="A468" s="214" t="s">
        <v>357</v>
      </c>
      <c r="B468" s="105">
        <v>104</v>
      </c>
      <c r="C468" s="145">
        <v>4214</v>
      </c>
      <c r="D468" s="146" t="s">
        <v>251</v>
      </c>
      <c r="E468" s="107">
        <v>50000</v>
      </c>
      <c r="F468" s="271">
        <v>500000</v>
      </c>
      <c r="G468" s="271"/>
      <c r="H468" s="271"/>
      <c r="I468" s="310">
        <f t="shared" si="68"/>
        <v>0</v>
      </c>
      <c r="J468" s="310"/>
    </row>
    <row r="469" spans="1:10" s="112" customFormat="1" ht="13.8" x14ac:dyDescent="0.25">
      <c r="A469" s="109"/>
      <c r="B469" s="109"/>
      <c r="C469" s="152"/>
      <c r="D469" s="153"/>
      <c r="E469" s="111"/>
      <c r="F469" s="273"/>
      <c r="G469" s="273"/>
      <c r="H469" s="273"/>
      <c r="I469" s="232"/>
      <c r="J469" s="232"/>
    </row>
    <row r="470" spans="1:10" s="1" customFormat="1" ht="13.8" x14ac:dyDescent="0.25">
      <c r="C470" s="187"/>
      <c r="D470" s="193" t="s">
        <v>257</v>
      </c>
      <c r="E470" s="96"/>
      <c r="F470" s="265"/>
      <c r="G470" s="265"/>
      <c r="H470" s="265"/>
      <c r="I470" s="237"/>
      <c r="J470" s="237"/>
    </row>
    <row r="471" spans="1:10" s="1" customFormat="1" ht="13.8" x14ac:dyDescent="0.25">
      <c r="C471" s="187"/>
      <c r="D471" s="218" t="s">
        <v>289</v>
      </c>
      <c r="E471" s="98"/>
      <c r="F471" s="266"/>
      <c r="G471" s="294"/>
      <c r="H471" s="294"/>
      <c r="I471" s="238"/>
      <c r="J471" s="238"/>
    </row>
    <row r="472" spans="1:10" s="1" customFormat="1" ht="13.8" x14ac:dyDescent="0.25">
      <c r="C472" s="187"/>
      <c r="D472" s="252" t="s">
        <v>359</v>
      </c>
      <c r="E472" s="177">
        <f t="shared" ref="E472:H474" si="69">SUM(E473)</f>
        <v>100000</v>
      </c>
      <c r="F472" s="260">
        <f t="shared" si="69"/>
        <v>100000</v>
      </c>
      <c r="G472" s="260">
        <f t="shared" si="69"/>
        <v>80000</v>
      </c>
      <c r="H472" s="260">
        <f t="shared" si="69"/>
        <v>60000</v>
      </c>
      <c r="I472" s="312">
        <f>AVERAGE(G472/F472*100)</f>
        <v>80</v>
      </c>
      <c r="J472" s="312">
        <f>AVERAGE(H472/G472*100)</f>
        <v>75</v>
      </c>
    </row>
    <row r="473" spans="1:10" s="112" customFormat="1" ht="13.8" x14ac:dyDescent="0.25">
      <c r="A473" s="105" t="s">
        <v>358</v>
      </c>
      <c r="B473" s="101"/>
      <c r="C473" s="143">
        <v>42</v>
      </c>
      <c r="D473" s="144" t="s">
        <v>250</v>
      </c>
      <c r="E473" s="103">
        <f t="shared" si="69"/>
        <v>100000</v>
      </c>
      <c r="F473" s="268">
        <f t="shared" si="69"/>
        <v>100000</v>
      </c>
      <c r="G473" s="268">
        <v>80000</v>
      </c>
      <c r="H473" s="268">
        <v>60000</v>
      </c>
      <c r="I473" s="310">
        <f t="shared" ref="I473:J475" si="70">AVERAGE(G473/F473*100)</f>
        <v>80</v>
      </c>
      <c r="J473" s="310">
        <f t="shared" si="70"/>
        <v>75</v>
      </c>
    </row>
    <row r="474" spans="1:10" s="112" customFormat="1" ht="13.8" x14ac:dyDescent="0.25">
      <c r="A474" s="105" t="s">
        <v>358</v>
      </c>
      <c r="B474" s="101"/>
      <c r="C474" s="143">
        <v>421</v>
      </c>
      <c r="D474" s="144" t="s">
        <v>97</v>
      </c>
      <c r="E474" s="103">
        <f t="shared" si="69"/>
        <v>100000</v>
      </c>
      <c r="F474" s="268">
        <f t="shared" si="69"/>
        <v>100000</v>
      </c>
      <c r="G474" s="268"/>
      <c r="H474" s="268"/>
      <c r="I474" s="310">
        <f t="shared" si="70"/>
        <v>0</v>
      </c>
      <c r="J474" s="310"/>
    </row>
    <row r="475" spans="1:10" s="112" customFormat="1" ht="13.8" hidden="1" x14ac:dyDescent="0.25">
      <c r="A475" s="105" t="s">
        <v>358</v>
      </c>
      <c r="B475" s="105">
        <v>105</v>
      </c>
      <c r="C475" s="145">
        <v>42145</v>
      </c>
      <c r="D475" s="146" t="s">
        <v>251</v>
      </c>
      <c r="E475" s="107">
        <v>100000</v>
      </c>
      <c r="F475" s="271">
        <v>100000</v>
      </c>
      <c r="G475" s="271"/>
      <c r="H475" s="271"/>
      <c r="I475" s="310">
        <f t="shared" si="70"/>
        <v>0</v>
      </c>
      <c r="J475" s="310"/>
    </row>
    <row r="476" spans="1:10" s="108" customFormat="1" ht="14.4" thickBot="1" x14ac:dyDescent="0.3">
      <c r="C476" s="205"/>
      <c r="D476" s="206"/>
      <c r="E476" s="199"/>
      <c r="F476" s="295"/>
      <c r="G476" s="295"/>
      <c r="H476" s="295"/>
      <c r="I476" s="227"/>
      <c r="J476" s="227"/>
    </row>
    <row r="477" spans="1:10" s="190" customFormat="1" ht="17.399999999999999" thickBot="1" x14ac:dyDescent="0.35">
      <c r="A477" s="804" t="s">
        <v>258</v>
      </c>
      <c r="B477" s="805"/>
      <c r="C477" s="805"/>
      <c r="D477" s="805"/>
      <c r="E477" s="196">
        <f>SUM(E479)</f>
        <v>0</v>
      </c>
      <c r="F477" s="261">
        <f>SUM(F479)</f>
        <v>50000</v>
      </c>
      <c r="G477" s="261">
        <f>SUM(G479)</f>
        <v>0</v>
      </c>
      <c r="H477" s="261">
        <f>SUM(H479)</f>
        <v>0</v>
      </c>
      <c r="I477" s="226">
        <f>AVERAGE(G477/F477*100)</f>
        <v>0</v>
      </c>
      <c r="J477" s="226">
        <v>0</v>
      </c>
    </row>
    <row r="478" spans="1:10" s="190" customFormat="1" ht="17.399999999999999" thickBot="1" x14ac:dyDescent="0.35">
      <c r="A478" s="200"/>
      <c r="B478" s="200"/>
      <c r="C478" s="200"/>
      <c r="D478" s="200"/>
      <c r="E478" s="172"/>
      <c r="F478" s="285"/>
      <c r="G478" s="285"/>
      <c r="H478" s="285"/>
      <c r="I478" s="227"/>
      <c r="J478" s="227"/>
    </row>
    <row r="479" spans="1:10" s="79" customFormat="1" ht="16.2" thickBot="1" x14ac:dyDescent="0.35">
      <c r="A479" s="776" t="s">
        <v>259</v>
      </c>
      <c r="B479" s="777"/>
      <c r="C479" s="777"/>
      <c r="D479" s="777"/>
      <c r="E479" s="91">
        <f>SUM(E483)</f>
        <v>0</v>
      </c>
      <c r="F479" s="263">
        <f>SUM(F483)</f>
        <v>50000</v>
      </c>
      <c r="G479" s="263">
        <f>SUM(G483)</f>
        <v>0</v>
      </c>
      <c r="H479" s="263">
        <f>SUM(H483)</f>
        <v>0</v>
      </c>
      <c r="I479" s="228">
        <f>AVERAGE(G479/F479*100)</f>
        <v>0</v>
      </c>
      <c r="J479" s="228">
        <v>0</v>
      </c>
    </row>
    <row r="480" spans="1:10" s="79" customFormat="1" ht="15.6" x14ac:dyDescent="0.3">
      <c r="A480" s="80"/>
      <c r="B480" s="80"/>
      <c r="C480" s="80"/>
      <c r="D480" s="80"/>
      <c r="E480" s="179"/>
      <c r="F480" s="289"/>
      <c r="G480" s="289"/>
      <c r="H480" s="289"/>
      <c r="I480" s="227"/>
      <c r="J480" s="227"/>
    </row>
    <row r="481" spans="1:10" ht="13.8" x14ac:dyDescent="0.25">
      <c r="B481" s="1"/>
      <c r="C481" s="187"/>
      <c r="D481" s="182" t="s">
        <v>223</v>
      </c>
      <c r="E481" s="96"/>
      <c r="F481" s="265"/>
      <c r="G481" s="265"/>
      <c r="H481" s="265"/>
      <c r="I481" s="237"/>
      <c r="J481" s="237"/>
    </row>
    <row r="482" spans="1:10" ht="13.8" x14ac:dyDescent="0.25">
      <c r="B482" s="1"/>
      <c r="C482" s="187"/>
      <c r="D482" s="218" t="s">
        <v>195</v>
      </c>
      <c r="E482" s="98"/>
      <c r="F482" s="266"/>
      <c r="G482" s="266"/>
      <c r="H482" s="266"/>
      <c r="I482" s="238"/>
      <c r="J482" s="238"/>
    </row>
    <row r="483" spans="1:10" ht="13.8" x14ac:dyDescent="0.25">
      <c r="B483" s="1"/>
      <c r="C483" s="187"/>
      <c r="D483" s="253" t="s">
        <v>339</v>
      </c>
      <c r="E483" s="177">
        <f t="shared" ref="E483:H485" si="71">SUM(E484)</f>
        <v>0</v>
      </c>
      <c r="F483" s="260">
        <f t="shared" si="71"/>
        <v>50000</v>
      </c>
      <c r="G483" s="260">
        <f t="shared" si="71"/>
        <v>0</v>
      </c>
      <c r="H483" s="260">
        <f t="shared" si="71"/>
        <v>0</v>
      </c>
      <c r="I483" s="312">
        <f>AVERAGE(G483/F483*100)</f>
        <v>0</v>
      </c>
      <c r="J483" s="312">
        <v>0</v>
      </c>
    </row>
    <row r="484" spans="1:10" s="112" customFormat="1" ht="13.8" x14ac:dyDescent="0.25">
      <c r="A484" s="131" t="s">
        <v>292</v>
      </c>
      <c r="B484" s="101"/>
      <c r="C484" s="143">
        <v>42</v>
      </c>
      <c r="D484" s="207" t="s">
        <v>250</v>
      </c>
      <c r="E484" s="103">
        <f t="shared" si="71"/>
        <v>0</v>
      </c>
      <c r="F484" s="268">
        <f t="shared" si="71"/>
        <v>50000</v>
      </c>
      <c r="G484" s="268">
        <f t="shared" si="71"/>
        <v>0</v>
      </c>
      <c r="H484" s="268">
        <f t="shared" si="71"/>
        <v>0</v>
      </c>
      <c r="I484" s="310">
        <f>AVERAGE(G484/F484*100)</f>
        <v>0</v>
      </c>
      <c r="J484" s="310">
        <v>0</v>
      </c>
    </row>
    <row r="485" spans="1:10" s="130" customFormat="1" ht="13.8" x14ac:dyDescent="0.25">
      <c r="A485" s="131" t="s">
        <v>292</v>
      </c>
      <c r="B485" s="101"/>
      <c r="C485" s="143">
        <v>426</v>
      </c>
      <c r="D485" s="144" t="s">
        <v>117</v>
      </c>
      <c r="E485" s="103">
        <f t="shared" si="71"/>
        <v>0</v>
      </c>
      <c r="F485" s="268">
        <f t="shared" si="71"/>
        <v>50000</v>
      </c>
      <c r="G485" s="268"/>
      <c r="H485" s="268"/>
      <c r="I485" s="310">
        <f>AVERAGE(G485/F485*100)</f>
        <v>0</v>
      </c>
      <c r="J485" s="310"/>
    </row>
    <row r="486" spans="1:10" s="130" customFormat="1" ht="13.8" hidden="1" x14ac:dyDescent="0.25">
      <c r="A486" s="131" t="s">
        <v>292</v>
      </c>
      <c r="B486" s="105">
        <v>106</v>
      </c>
      <c r="C486" s="145">
        <v>42637</v>
      </c>
      <c r="D486" s="146" t="s">
        <v>260</v>
      </c>
      <c r="E486" s="107">
        <v>0</v>
      </c>
      <c r="F486" s="271">
        <v>50000</v>
      </c>
      <c r="G486" s="271"/>
      <c r="H486" s="271"/>
      <c r="I486" s="310">
        <f>AVERAGE(G486/F486*100)</f>
        <v>0</v>
      </c>
      <c r="J486" s="310"/>
    </row>
    <row r="487" spans="1:10" s="130" customFormat="1" ht="14.4" thickBot="1" x14ac:dyDescent="0.3">
      <c r="A487" s="109"/>
      <c r="B487" s="109"/>
      <c r="C487" s="152"/>
      <c r="D487" s="153"/>
      <c r="E487" s="111"/>
      <c r="F487" s="273"/>
      <c r="G487" s="273"/>
      <c r="H487" s="273"/>
      <c r="I487" s="232"/>
      <c r="J487" s="232"/>
    </row>
    <row r="488" spans="1:10" s="190" customFormat="1" ht="17.399999999999999" thickBot="1" x14ac:dyDescent="0.35">
      <c r="A488" s="804" t="s">
        <v>285</v>
      </c>
      <c r="B488" s="805"/>
      <c r="C488" s="805"/>
      <c r="D488" s="805"/>
      <c r="E488" s="196">
        <f>SUM(E490)</f>
        <v>0</v>
      </c>
      <c r="F488" s="261">
        <f>SUM(F490)</f>
        <v>10000</v>
      </c>
      <c r="G488" s="261">
        <f>SUM(G490)</f>
        <v>10000</v>
      </c>
      <c r="H488" s="261">
        <f>SUM(H490)</f>
        <v>10000</v>
      </c>
      <c r="I488" s="226">
        <f>AVERAGE(G488/F488*100)</f>
        <v>100</v>
      </c>
      <c r="J488" s="226">
        <f>AVERAGE(H488/G488*100)</f>
        <v>100</v>
      </c>
    </row>
    <row r="489" spans="1:10" s="190" customFormat="1" ht="17.399999999999999" thickBot="1" x14ac:dyDescent="0.35">
      <c r="A489" s="200"/>
      <c r="B489" s="200"/>
      <c r="C489" s="200"/>
      <c r="D489" s="200"/>
      <c r="E489" s="172"/>
      <c r="F489" s="285"/>
      <c r="G489" s="285"/>
      <c r="H489" s="285"/>
      <c r="I489" s="227"/>
      <c r="J489" s="227"/>
    </row>
    <row r="490" spans="1:10" s="79" customFormat="1" ht="16.2" thickBot="1" x14ac:dyDescent="0.35">
      <c r="A490" s="776" t="s">
        <v>286</v>
      </c>
      <c r="B490" s="777"/>
      <c r="C490" s="777"/>
      <c r="D490" s="777"/>
      <c r="E490" s="91">
        <f>SUM(E494)</f>
        <v>0</v>
      </c>
      <c r="F490" s="263">
        <f>SUM(F494)</f>
        <v>10000</v>
      </c>
      <c r="G490" s="263">
        <f>SUM(G494)</f>
        <v>10000</v>
      </c>
      <c r="H490" s="263">
        <f>SUM(H494)</f>
        <v>10000</v>
      </c>
      <c r="I490" s="228">
        <f>AVERAGE(G490/F490*100)</f>
        <v>100</v>
      </c>
      <c r="J490" s="228">
        <f>AVERAGE(H490/G490*100)</f>
        <v>100</v>
      </c>
    </row>
    <row r="491" spans="1:10" s="79" customFormat="1" ht="15.6" x14ac:dyDescent="0.3">
      <c r="A491" s="80"/>
      <c r="B491" s="80"/>
      <c r="C491" s="80"/>
      <c r="D491" s="80"/>
      <c r="E491" s="179"/>
      <c r="F491" s="289"/>
      <c r="G491" s="289"/>
      <c r="H491" s="289"/>
      <c r="I491" s="227"/>
      <c r="J491" s="227"/>
    </row>
    <row r="492" spans="1:10" ht="13.8" x14ac:dyDescent="0.25">
      <c r="B492" s="1"/>
      <c r="C492" s="187"/>
      <c r="D492" s="182" t="s">
        <v>223</v>
      </c>
      <c r="E492" s="96"/>
      <c r="F492" s="265"/>
      <c r="G492" s="265"/>
      <c r="H492" s="265"/>
      <c r="I492" s="237"/>
      <c r="J492" s="237"/>
    </row>
    <row r="493" spans="1:10" ht="13.8" x14ac:dyDescent="0.25">
      <c r="B493" s="1"/>
      <c r="C493" s="187"/>
      <c r="D493" s="218" t="s">
        <v>197</v>
      </c>
      <c r="E493" s="98"/>
      <c r="F493" s="266"/>
      <c r="G493" s="266"/>
      <c r="H493" s="266"/>
      <c r="I493" s="238"/>
      <c r="J493" s="238"/>
    </row>
    <row r="494" spans="1:10" ht="13.8" x14ac:dyDescent="0.25">
      <c r="B494" s="1"/>
      <c r="C494" s="187"/>
      <c r="D494" s="253" t="s">
        <v>340</v>
      </c>
      <c r="E494" s="177">
        <f t="shared" ref="E494:H496" si="72">SUM(E495)</f>
        <v>0</v>
      </c>
      <c r="F494" s="260">
        <f t="shared" si="72"/>
        <v>10000</v>
      </c>
      <c r="G494" s="260">
        <f t="shared" si="72"/>
        <v>10000</v>
      </c>
      <c r="H494" s="260">
        <f t="shared" si="72"/>
        <v>10000</v>
      </c>
      <c r="I494" s="312">
        <f>AVERAGE(G494/F494*100)</f>
        <v>100</v>
      </c>
      <c r="J494" s="312">
        <f>AVERAGE(H494/G494*100)</f>
        <v>100</v>
      </c>
    </row>
    <row r="495" spans="1:10" s="112" customFormat="1" ht="13.8" x14ac:dyDescent="0.25">
      <c r="A495" s="131" t="s">
        <v>292</v>
      </c>
      <c r="B495" s="101"/>
      <c r="C495" s="143">
        <v>32</v>
      </c>
      <c r="D495" s="207" t="s">
        <v>47</v>
      </c>
      <c r="E495" s="103">
        <f t="shared" si="72"/>
        <v>0</v>
      </c>
      <c r="F495" s="268">
        <f t="shared" si="72"/>
        <v>10000</v>
      </c>
      <c r="G495" s="268">
        <v>10000</v>
      </c>
      <c r="H495" s="268">
        <v>10000</v>
      </c>
      <c r="I495" s="310">
        <f t="shared" ref="I495:J497" si="73">AVERAGE(G495/F495*100)</f>
        <v>100</v>
      </c>
      <c r="J495" s="310">
        <f t="shared" si="73"/>
        <v>100</v>
      </c>
    </row>
    <row r="496" spans="1:10" s="130" customFormat="1" ht="13.8" x14ac:dyDescent="0.25">
      <c r="A496" s="131" t="s">
        <v>292</v>
      </c>
      <c r="B496" s="101"/>
      <c r="C496" s="143">
        <v>329</v>
      </c>
      <c r="D496" s="144" t="s">
        <v>65</v>
      </c>
      <c r="E496" s="103">
        <f t="shared" si="72"/>
        <v>0</v>
      </c>
      <c r="F496" s="268">
        <f t="shared" si="72"/>
        <v>10000</v>
      </c>
      <c r="G496" s="268"/>
      <c r="H496" s="268"/>
      <c r="I496" s="310">
        <f t="shared" si="73"/>
        <v>0</v>
      </c>
      <c r="J496" s="310"/>
    </row>
    <row r="497" spans="1:10" s="130" customFormat="1" ht="13.8" hidden="1" x14ac:dyDescent="0.25">
      <c r="A497" s="131" t="s">
        <v>292</v>
      </c>
      <c r="B497" s="105">
        <v>107</v>
      </c>
      <c r="C497" s="145">
        <v>3294</v>
      </c>
      <c r="D497" s="146" t="s">
        <v>287</v>
      </c>
      <c r="E497" s="107">
        <v>0</v>
      </c>
      <c r="F497" s="271">
        <v>10000</v>
      </c>
      <c r="G497" s="271"/>
      <c r="H497" s="271"/>
      <c r="I497" s="310">
        <f t="shared" si="73"/>
        <v>0</v>
      </c>
      <c r="J497" s="310"/>
    </row>
    <row r="498" spans="1:10" s="130" customFormat="1" ht="14.4" thickBot="1" x14ac:dyDescent="0.3">
      <c r="A498" s="109"/>
      <c r="B498" s="109"/>
      <c r="C498" s="152"/>
      <c r="D498" s="153"/>
      <c r="E498" s="111"/>
      <c r="F498" s="273"/>
      <c r="G498" s="273"/>
      <c r="H498" s="273"/>
      <c r="I498" s="232"/>
      <c r="J498" s="232"/>
    </row>
    <row r="499" spans="1:10" s="300" customFormat="1" ht="23.25" customHeight="1" thickBot="1" x14ac:dyDescent="0.3">
      <c r="A499" s="802" t="s">
        <v>110</v>
      </c>
      <c r="B499" s="803"/>
      <c r="C499" s="803"/>
      <c r="D499" s="803"/>
      <c r="E499" s="298">
        <f>SUM(E42+E10+E133+E176+E208+E253+E325+E336+E477)</f>
        <v>5608000</v>
      </c>
      <c r="F499" s="299">
        <f>SUM(F42+F10+F133+F176+F208+F253+F325+F336+F477+F488)</f>
        <v>8864000</v>
      </c>
      <c r="G499" s="299">
        <f>SUM(G42+G10+G133+G176+G208+G253+G325+G336+G477+G488)</f>
        <v>5897500</v>
      </c>
      <c r="H499" s="299">
        <f>SUM(H42+H10+H133+H176+H208+H253+H325+H336+H477+H488)</f>
        <v>6257000</v>
      </c>
      <c r="I499" s="244">
        <f>AVERAGE(G499/F499*100)</f>
        <v>66.53316787003611</v>
      </c>
      <c r="J499" s="244">
        <f>AVERAGE(H499/G499*100)</f>
        <v>106.09580330648581</v>
      </c>
    </row>
    <row r="500" spans="1:10" x14ac:dyDescent="0.25">
      <c r="B500" s="85"/>
      <c r="C500" s="85"/>
      <c r="D500" s="85"/>
      <c r="E500" s="85"/>
      <c r="F500" s="297"/>
      <c r="G500" s="306"/>
      <c r="H500" s="306"/>
      <c r="I500" s="242"/>
      <c r="J500" s="242"/>
    </row>
    <row r="501" spans="1:10" x14ac:dyDescent="0.25">
      <c r="D501" s="138"/>
    </row>
    <row r="502" spans="1:10" x14ac:dyDescent="0.25">
      <c r="D502" s="138"/>
    </row>
    <row r="503" spans="1:10" x14ac:dyDescent="0.25">
      <c r="D503" s="138"/>
    </row>
    <row r="504" spans="1:10" x14ac:dyDescent="0.25">
      <c r="D504" s="138"/>
    </row>
    <row r="505" spans="1:10" x14ac:dyDescent="0.25">
      <c r="D505" s="138"/>
    </row>
    <row r="506" spans="1:10" x14ac:dyDescent="0.25">
      <c r="D506" s="138"/>
    </row>
  </sheetData>
  <mergeCells count="40"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J219:J221"/>
    <mergeCell ref="A4:J4"/>
    <mergeCell ref="A199:D199"/>
    <mergeCell ref="A208:D208"/>
    <mergeCell ref="A210:D210"/>
    <mergeCell ref="A8:D8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32"/>
  <sheetViews>
    <sheetView tabSelected="1" view="pageBreakPreview" topLeftCell="A64" zoomScale="120" zoomScaleNormal="120" zoomScaleSheetLayoutView="120" workbookViewId="0">
      <selection activeCell="P30" sqref="P30"/>
    </sheetView>
  </sheetViews>
  <sheetFormatPr defaultRowHeight="13.2" x14ac:dyDescent="0.25"/>
  <cols>
    <col min="1" max="1" width="11.33203125" customWidth="1"/>
    <col min="2" max="6" width="2.6640625" hidden="1" customWidth="1"/>
    <col min="7" max="7" width="6.5546875" hidden="1" customWidth="1"/>
    <col min="8" max="8" width="6.44140625" customWidth="1"/>
    <col min="9" max="9" width="35" customWidth="1"/>
    <col min="10" max="10" width="10.109375" hidden="1" customWidth="1"/>
    <col min="11" max="12" width="9.33203125" hidden="1" customWidth="1"/>
    <col min="13" max="14" width="9.109375" hidden="1" customWidth="1"/>
    <col min="15" max="15" width="9.44140625" style="2" customWidth="1"/>
    <col min="16" max="16" width="12.109375" style="2" customWidth="1"/>
    <col min="17" max="17" width="9.5546875" style="2" customWidth="1"/>
    <col min="18" max="18" width="7" customWidth="1"/>
  </cols>
  <sheetData>
    <row r="2" spans="1:18" ht="12.75" customHeight="1" x14ac:dyDescent="0.25">
      <c r="A2" s="832" t="s">
        <v>375</v>
      </c>
      <c r="B2" s="832"/>
      <c r="C2" s="832"/>
      <c r="D2" s="832"/>
      <c r="E2" s="832"/>
      <c r="F2" s="832"/>
      <c r="G2" s="832"/>
      <c r="H2" s="832"/>
      <c r="I2" s="832"/>
    </row>
    <row r="3" spans="1:18" ht="12.75" customHeight="1" x14ac:dyDescent="0.25">
      <c r="A3" s="212" t="s">
        <v>376</v>
      </c>
      <c r="B3" s="163"/>
      <c r="C3" s="163"/>
      <c r="D3" s="163"/>
      <c r="E3" s="163"/>
      <c r="F3" s="163"/>
      <c r="G3" s="163"/>
      <c r="H3" s="163"/>
      <c r="I3" s="163"/>
    </row>
    <row r="4" spans="1:18" x14ac:dyDescent="0.25">
      <c r="A4" s="40" t="s">
        <v>377</v>
      </c>
    </row>
    <row r="5" spans="1:18" x14ac:dyDescent="0.25">
      <c r="A5" s="40"/>
    </row>
    <row r="6" spans="1:18" s="210" customFormat="1" ht="12.75" customHeight="1" x14ac:dyDescent="0.25">
      <c r="A6" s="833" t="s">
        <v>687</v>
      </c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</row>
    <row r="7" spans="1:18" s="211" customFormat="1" ht="13.8" x14ac:dyDescent="0.25">
      <c r="A7" s="834"/>
      <c r="B7" s="834"/>
      <c r="C7" s="834"/>
      <c r="D7" s="834"/>
      <c r="E7" s="834"/>
      <c r="F7" s="834"/>
      <c r="G7" s="834"/>
      <c r="H7" s="834"/>
      <c r="I7" s="834"/>
      <c r="J7" s="834"/>
      <c r="K7" s="834"/>
      <c r="L7" s="834"/>
      <c r="M7" s="834"/>
      <c r="N7" s="834"/>
      <c r="O7" s="834"/>
      <c r="P7" s="834"/>
      <c r="Q7" s="834"/>
      <c r="R7" s="834"/>
    </row>
    <row r="9" spans="1:18" s="116" customFormat="1" ht="13.8" x14ac:dyDescent="0.25">
      <c r="A9" s="835" t="s">
        <v>503</v>
      </c>
      <c r="B9" s="835"/>
      <c r="C9" s="835"/>
      <c r="D9" s="835"/>
      <c r="E9" s="835"/>
      <c r="F9" s="835"/>
      <c r="G9" s="835"/>
      <c r="H9" s="835"/>
      <c r="I9" s="835"/>
      <c r="O9" s="108"/>
      <c r="P9" s="108"/>
      <c r="Q9" s="108"/>
    </row>
    <row r="10" spans="1:18" s="1" customFormat="1" ht="13.8" thickBot="1" x14ac:dyDescent="0.3">
      <c r="A10" s="7"/>
      <c r="B10" s="7"/>
      <c r="C10" s="7"/>
      <c r="D10" s="7"/>
      <c r="E10" s="7"/>
      <c r="F10" s="7"/>
      <c r="G10" s="7"/>
      <c r="H10" s="7"/>
      <c r="I10" s="75"/>
      <c r="J10" s="7"/>
      <c r="K10" s="7"/>
      <c r="L10" s="7"/>
      <c r="M10" s="7"/>
      <c r="N10" s="7"/>
      <c r="O10" s="7"/>
      <c r="P10" s="7"/>
      <c r="Q10" s="7"/>
      <c r="R10" s="7"/>
    </row>
    <row r="11" spans="1:18" s="492" customFormat="1" x14ac:dyDescent="0.25">
      <c r="A11" s="829"/>
      <c r="B11" s="830"/>
      <c r="C11" s="830"/>
      <c r="D11" s="830"/>
      <c r="E11" s="830"/>
      <c r="F11" s="830"/>
      <c r="G11" s="831"/>
      <c r="H11" s="487"/>
      <c r="I11" s="488"/>
      <c r="J11" s="489">
        <v>1</v>
      </c>
      <c r="K11" s="490">
        <v>2</v>
      </c>
      <c r="L11" s="490">
        <v>3</v>
      </c>
      <c r="M11" s="491">
        <v>1</v>
      </c>
      <c r="N11" s="491">
        <v>1</v>
      </c>
      <c r="O11" s="581">
        <v>1</v>
      </c>
      <c r="P11" s="581">
        <v>2</v>
      </c>
      <c r="Q11" s="581">
        <v>3</v>
      </c>
      <c r="R11" s="743">
        <v>4</v>
      </c>
    </row>
    <row r="12" spans="1:18" s="480" customFormat="1" ht="39.6" customHeight="1" thickBot="1" x14ac:dyDescent="0.3">
      <c r="A12" s="501"/>
      <c r="B12" s="500" t="s">
        <v>364</v>
      </c>
      <c r="C12" s="493" t="s">
        <v>365</v>
      </c>
      <c r="D12" s="493" t="s">
        <v>366</v>
      </c>
      <c r="E12" s="493" t="s">
        <v>367</v>
      </c>
      <c r="F12" s="493" t="s">
        <v>368</v>
      </c>
      <c r="G12" s="499" t="s">
        <v>369</v>
      </c>
      <c r="H12" s="494"/>
      <c r="I12" s="495"/>
      <c r="J12" s="496" t="s">
        <v>167</v>
      </c>
      <c r="K12" s="497" t="s">
        <v>170</v>
      </c>
      <c r="L12" s="497" t="s">
        <v>169</v>
      </c>
      <c r="M12" s="498" t="s">
        <v>478</v>
      </c>
      <c r="N12" s="498" t="s">
        <v>478</v>
      </c>
      <c r="O12" s="582" t="s">
        <v>583</v>
      </c>
      <c r="P12" s="497" t="s">
        <v>674</v>
      </c>
      <c r="Q12" s="497" t="s">
        <v>675</v>
      </c>
      <c r="R12" s="744" t="s">
        <v>550</v>
      </c>
    </row>
    <row r="13" spans="1:18" s="61" customFormat="1" ht="20.399999999999999" customHeight="1" thickBot="1" x14ac:dyDescent="0.3">
      <c r="A13" s="837" t="s">
        <v>514</v>
      </c>
      <c r="B13" s="838"/>
      <c r="C13" s="838"/>
      <c r="D13" s="838"/>
      <c r="E13" s="838"/>
      <c r="F13" s="838"/>
      <c r="G13" s="838"/>
      <c r="H13" s="838"/>
      <c r="I13" s="838"/>
      <c r="J13" s="838"/>
      <c r="K13" s="838"/>
      <c r="L13" s="838"/>
      <c r="M13" s="838"/>
      <c r="N13" s="838"/>
      <c r="O13" s="838"/>
      <c r="P13" s="838"/>
      <c r="Q13" s="838"/>
      <c r="R13" s="839"/>
    </row>
    <row r="14" spans="1:18" s="574" customFormat="1" x14ac:dyDescent="0.25">
      <c r="A14" s="569"/>
      <c r="B14" s="570"/>
      <c r="C14" s="570"/>
      <c r="D14" s="570"/>
      <c r="E14" s="570"/>
      <c r="F14" s="570"/>
      <c r="G14" s="570"/>
      <c r="H14" s="571"/>
      <c r="I14" s="572" t="s">
        <v>360</v>
      </c>
      <c r="J14" s="572"/>
      <c r="K14" s="572"/>
      <c r="L14" s="572"/>
      <c r="M14" s="573">
        <f t="shared" ref="M14:O14" si="0">M15+M16</f>
        <v>10029500</v>
      </c>
      <c r="N14" s="573">
        <f t="shared" si="0"/>
        <v>1331143.406994492</v>
      </c>
      <c r="O14" s="573">
        <f t="shared" si="0"/>
        <v>2891775</v>
      </c>
      <c r="P14" s="573">
        <f t="shared" ref="P14:Q14" si="1">P15+P16</f>
        <v>114000</v>
      </c>
      <c r="Q14" s="573">
        <f t="shared" si="1"/>
        <v>3005775</v>
      </c>
      <c r="R14" s="745">
        <f>Q14/O14*100</f>
        <v>103.94221542132426</v>
      </c>
    </row>
    <row r="15" spans="1:18" s="1" customFormat="1" x14ac:dyDescent="0.25">
      <c r="A15" s="335"/>
      <c r="B15" s="336"/>
      <c r="C15" s="336" t="s">
        <v>365</v>
      </c>
      <c r="D15" s="336" t="s">
        <v>366</v>
      </c>
      <c r="E15" s="336" t="s">
        <v>367</v>
      </c>
      <c r="F15" s="336" t="s">
        <v>368</v>
      </c>
      <c r="G15" s="336"/>
      <c r="H15" s="25">
        <v>6</v>
      </c>
      <c r="I15" s="5" t="s">
        <v>1</v>
      </c>
      <c r="J15" s="12" t="e">
        <f t="shared" ref="J15:M15" si="2">SUM(J38)</f>
        <v>#REF!</v>
      </c>
      <c r="K15" s="12" t="e">
        <f t="shared" si="2"/>
        <v>#REF!</v>
      </c>
      <c r="L15" s="12" t="e">
        <f t="shared" si="2"/>
        <v>#REF!</v>
      </c>
      <c r="M15" s="11">
        <f t="shared" si="2"/>
        <v>9929500</v>
      </c>
      <c r="N15" s="11">
        <f t="shared" ref="N15:O15" si="3">SUM(N38)</f>
        <v>1317871.1261530295</v>
      </c>
      <c r="O15" s="16">
        <f t="shared" si="3"/>
        <v>2891775</v>
      </c>
      <c r="P15" s="16">
        <f t="shared" ref="P15" si="4">SUM(P38)</f>
        <v>100000</v>
      </c>
      <c r="Q15" s="16">
        <f t="shared" ref="Q15" si="5">SUM(Q38)</f>
        <v>2991775</v>
      </c>
      <c r="R15" s="746">
        <f t="shared" ref="R15:R20" si="6">Q15/O15*100</f>
        <v>103.45808370291603</v>
      </c>
    </row>
    <row r="16" spans="1:18" s="1" customFormat="1" ht="13.8" thickBot="1" x14ac:dyDescent="0.3">
      <c r="A16" s="337"/>
      <c r="B16" s="338"/>
      <c r="C16" s="338" t="s">
        <v>365</v>
      </c>
      <c r="D16" s="338"/>
      <c r="E16" s="338"/>
      <c r="F16" s="338"/>
      <c r="G16" s="338"/>
      <c r="H16" s="328">
        <v>7</v>
      </c>
      <c r="I16" s="329" t="s">
        <v>2</v>
      </c>
      <c r="J16" s="330" t="e">
        <f t="shared" ref="J16:M16" si="7">SUM(J94)</f>
        <v>#REF!</v>
      </c>
      <c r="K16" s="330" t="e">
        <f t="shared" si="7"/>
        <v>#REF!</v>
      </c>
      <c r="L16" s="330" t="e">
        <f t="shared" si="7"/>
        <v>#REF!</v>
      </c>
      <c r="M16" s="331">
        <f t="shared" si="7"/>
        <v>100000</v>
      </c>
      <c r="N16" s="331">
        <f t="shared" ref="N16:O16" si="8">SUM(N94)</f>
        <v>13272.280841462605</v>
      </c>
      <c r="O16" s="32">
        <f t="shared" si="8"/>
        <v>0</v>
      </c>
      <c r="P16" s="32">
        <f t="shared" ref="P16" si="9">SUM(P94)</f>
        <v>14000</v>
      </c>
      <c r="Q16" s="32">
        <f t="shared" ref="Q16" si="10">SUM(Q94)</f>
        <v>14000</v>
      </c>
      <c r="R16" s="746" t="e">
        <f t="shared" si="6"/>
        <v>#DIV/0!</v>
      </c>
    </row>
    <row r="17" spans="1:18" s="574" customFormat="1" x14ac:dyDescent="0.25">
      <c r="A17" s="569"/>
      <c r="B17" s="570"/>
      <c r="C17" s="570"/>
      <c r="D17" s="570"/>
      <c r="E17" s="570"/>
      <c r="F17" s="570"/>
      <c r="G17" s="570"/>
      <c r="H17" s="571"/>
      <c r="I17" s="572" t="s">
        <v>361</v>
      </c>
      <c r="J17" s="572"/>
      <c r="K17" s="572"/>
      <c r="L17" s="572"/>
      <c r="M17" s="573" t="e">
        <f t="shared" ref="M17:O17" si="11">M18+M19</f>
        <v>#REF!</v>
      </c>
      <c r="N17" s="573" t="e">
        <f t="shared" si="11"/>
        <v>#REF!</v>
      </c>
      <c r="O17" s="573">
        <f t="shared" si="11"/>
        <v>3638360</v>
      </c>
      <c r="P17" s="573">
        <f>P18+P19</f>
        <v>46800</v>
      </c>
      <c r="Q17" s="573">
        <f t="shared" ref="Q17" si="12">Q18+Q19</f>
        <v>3685160</v>
      </c>
      <c r="R17" s="745">
        <f t="shared" si="6"/>
        <v>101.28629382469026</v>
      </c>
    </row>
    <row r="18" spans="1:18" s="1" customFormat="1" x14ac:dyDescent="0.25">
      <c r="A18" s="335"/>
      <c r="B18" s="336"/>
      <c r="C18" s="336" t="s">
        <v>365</v>
      </c>
      <c r="D18" s="336" t="s">
        <v>366</v>
      </c>
      <c r="E18" s="336" t="s">
        <v>367</v>
      </c>
      <c r="F18" s="336" t="s">
        <v>368</v>
      </c>
      <c r="G18" s="336"/>
      <c r="H18" s="25">
        <v>3</v>
      </c>
      <c r="I18" s="5" t="s">
        <v>3</v>
      </c>
      <c r="J18" s="12" t="e">
        <f t="shared" ref="J18:M18" si="13">SUM(J98)</f>
        <v>#REF!</v>
      </c>
      <c r="K18" s="12" t="e">
        <f t="shared" si="13"/>
        <v>#REF!</v>
      </c>
      <c r="L18" s="12" t="e">
        <f t="shared" si="13"/>
        <v>#REF!</v>
      </c>
      <c r="M18" s="11" t="e">
        <f t="shared" si="13"/>
        <v>#REF!</v>
      </c>
      <c r="N18" s="11" t="e">
        <f t="shared" ref="N18:O18" si="14">SUM(N98)</f>
        <v>#REF!</v>
      </c>
      <c r="O18" s="16">
        <f t="shared" si="14"/>
        <v>1714600</v>
      </c>
      <c r="P18" s="16">
        <f t="shared" ref="P18" si="15">SUM(P98)</f>
        <v>-7800</v>
      </c>
      <c r="Q18" s="16">
        <f t="shared" ref="Q18" si="16">SUM(Q98)</f>
        <v>1706800</v>
      </c>
      <c r="R18" s="746">
        <f t="shared" si="6"/>
        <v>99.545083401376417</v>
      </c>
    </row>
    <row r="19" spans="1:18" s="1" customFormat="1" ht="13.8" thickBot="1" x14ac:dyDescent="0.3">
      <c r="A19" s="337"/>
      <c r="B19" s="338"/>
      <c r="C19" s="338" t="s">
        <v>365</v>
      </c>
      <c r="D19" s="338" t="s">
        <v>366</v>
      </c>
      <c r="E19" s="338"/>
      <c r="F19" s="338" t="s">
        <v>368</v>
      </c>
      <c r="G19" s="338"/>
      <c r="H19" s="328">
        <v>4</v>
      </c>
      <c r="I19" s="329" t="s">
        <v>4</v>
      </c>
      <c r="J19" s="330" t="e">
        <f t="shared" ref="J19:L19" si="17">SUM(J171)</f>
        <v>#REF!</v>
      </c>
      <c r="K19" s="330" t="e">
        <f t="shared" si="17"/>
        <v>#REF!</v>
      </c>
      <c r="L19" s="330" t="e">
        <f t="shared" si="17"/>
        <v>#REF!</v>
      </c>
      <c r="M19" s="331" t="e">
        <f t="shared" ref="M19:P19" si="18">SUM(M171)</f>
        <v>#REF!</v>
      </c>
      <c r="N19" s="331" t="e">
        <f t="shared" si="18"/>
        <v>#REF!</v>
      </c>
      <c r="O19" s="32">
        <f t="shared" si="18"/>
        <v>1923760</v>
      </c>
      <c r="P19" s="32">
        <f t="shared" si="18"/>
        <v>54600</v>
      </c>
      <c r="Q19" s="32">
        <f t="shared" ref="Q19" si="19">SUM(Q171)</f>
        <v>1978360</v>
      </c>
      <c r="R19" s="746">
        <f t="shared" si="6"/>
        <v>102.83819187424628</v>
      </c>
    </row>
    <row r="20" spans="1:18" s="1" customFormat="1" x14ac:dyDescent="0.25">
      <c r="A20" s="339"/>
      <c r="B20" s="340"/>
      <c r="C20" s="340"/>
      <c r="D20" s="340"/>
      <c r="E20" s="340"/>
      <c r="F20" s="340"/>
      <c r="G20" s="340"/>
      <c r="H20" s="332"/>
      <c r="I20" s="333" t="s">
        <v>166</v>
      </c>
      <c r="J20" s="325" t="e">
        <f t="shared" ref="J20:M20" si="20">J15+J16-J18-J19</f>
        <v>#REF!</v>
      </c>
      <c r="K20" s="325" t="e">
        <f t="shared" si="20"/>
        <v>#REF!</v>
      </c>
      <c r="L20" s="325" t="e">
        <f t="shared" si="20"/>
        <v>#REF!</v>
      </c>
      <c r="M20" s="334" t="e">
        <f t="shared" si="20"/>
        <v>#REF!</v>
      </c>
      <c r="N20" s="334" t="e">
        <f t="shared" ref="N20:O20" si="21">N15+N16-N18-N19</f>
        <v>#REF!</v>
      </c>
      <c r="O20" s="17">
        <f t="shared" si="21"/>
        <v>-746585</v>
      </c>
      <c r="P20" s="17">
        <f t="shared" ref="P20" si="22">P15+P16-P18-P19</f>
        <v>67200</v>
      </c>
      <c r="Q20" s="17">
        <f t="shared" ref="Q20" si="23">Q15+Q16-Q18-Q19</f>
        <v>-679385</v>
      </c>
      <c r="R20" s="746">
        <f t="shared" si="6"/>
        <v>90.999015517322206</v>
      </c>
    </row>
    <row r="21" spans="1:18" s="1" customFormat="1" x14ac:dyDescent="0.25">
      <c r="A21" s="578"/>
      <c r="B21" s="577"/>
      <c r="C21" s="336"/>
      <c r="D21" s="336"/>
      <c r="E21" s="336"/>
      <c r="F21" s="336"/>
      <c r="G21" s="575"/>
      <c r="H21" s="576"/>
      <c r="I21" s="576"/>
      <c r="J21" s="579"/>
      <c r="K21" s="5"/>
      <c r="L21" s="14"/>
      <c r="M21" s="580"/>
      <c r="N21" s="580"/>
      <c r="O21" s="580"/>
      <c r="P21" s="580"/>
      <c r="Q21" s="580"/>
      <c r="R21" s="747"/>
    </row>
    <row r="22" spans="1:18" s="61" customFormat="1" ht="20.399999999999999" customHeight="1" x14ac:dyDescent="0.25">
      <c r="A22" s="840" t="s">
        <v>515</v>
      </c>
      <c r="B22" s="841"/>
      <c r="C22" s="841"/>
      <c r="D22" s="841"/>
      <c r="E22" s="841"/>
      <c r="F22" s="841"/>
      <c r="G22" s="841"/>
      <c r="H22" s="841"/>
      <c r="I22" s="841"/>
      <c r="J22" s="841"/>
      <c r="K22" s="841"/>
      <c r="L22" s="841"/>
      <c r="M22" s="841"/>
      <c r="N22" s="841"/>
      <c r="O22" s="841"/>
      <c r="P22" s="841"/>
      <c r="Q22" s="841"/>
      <c r="R22" s="842"/>
    </row>
    <row r="23" spans="1:18" s="1" customFormat="1" x14ac:dyDescent="0.25">
      <c r="A23" s="335"/>
      <c r="B23" s="336"/>
      <c r="C23" s="336"/>
      <c r="D23" s="336"/>
      <c r="E23" s="336"/>
      <c r="F23" s="336"/>
      <c r="G23" s="336"/>
      <c r="H23" s="25">
        <v>8</v>
      </c>
      <c r="I23" s="5" t="s">
        <v>6</v>
      </c>
      <c r="J23" s="12">
        <f t="shared" ref="J23:M23" si="24">SUM(J197)</f>
        <v>2721893</v>
      </c>
      <c r="K23" s="12">
        <f t="shared" si="24"/>
        <v>0</v>
      </c>
      <c r="L23" s="12">
        <f t="shared" si="24"/>
        <v>0</v>
      </c>
      <c r="M23" s="11">
        <f t="shared" si="24"/>
        <v>0</v>
      </c>
      <c r="N23" s="11">
        <f t="shared" ref="N23:O23" si="25">SUM(N197)</f>
        <v>0</v>
      </c>
      <c r="O23" s="16">
        <f t="shared" si="25"/>
        <v>0</v>
      </c>
      <c r="P23" s="16">
        <f t="shared" ref="P23" si="26">SUM(P197)</f>
        <v>0</v>
      </c>
      <c r="Q23" s="16">
        <f t="shared" ref="Q23" si="27">SUM(Q197)</f>
        <v>0</v>
      </c>
      <c r="R23" s="748" t="e">
        <f>Q23/O23*100</f>
        <v>#DIV/0!</v>
      </c>
    </row>
    <row r="24" spans="1:18" s="1" customFormat="1" x14ac:dyDescent="0.25">
      <c r="A24" s="335"/>
      <c r="B24" s="336"/>
      <c r="C24" s="336"/>
      <c r="D24" s="336"/>
      <c r="E24" s="336"/>
      <c r="F24" s="336"/>
      <c r="G24" s="336"/>
      <c r="H24" s="25">
        <v>5</v>
      </c>
      <c r="I24" s="5" t="s">
        <v>150</v>
      </c>
      <c r="J24" s="12">
        <f t="shared" ref="J24:M24" si="28">SUM(J204)</f>
        <v>0</v>
      </c>
      <c r="K24" s="12">
        <f t="shared" si="28"/>
        <v>0</v>
      </c>
      <c r="L24" s="12">
        <f t="shared" si="28"/>
        <v>0</v>
      </c>
      <c r="M24" s="11" t="e">
        <f t="shared" si="28"/>
        <v>#REF!</v>
      </c>
      <c r="N24" s="11" t="e">
        <f t="shared" ref="N24:O24" si="29">SUM(N204)</f>
        <v>#REF!</v>
      </c>
      <c r="O24" s="16">
        <f t="shared" si="29"/>
        <v>0</v>
      </c>
      <c r="P24" s="16">
        <f t="shared" ref="P24" si="30">SUM(P204)</f>
        <v>0</v>
      </c>
      <c r="Q24" s="16">
        <f t="shared" ref="Q24" si="31">SUM(Q204)</f>
        <v>0</v>
      </c>
      <c r="R24" s="748" t="e">
        <f t="shared" ref="R24:R25" si="32">Q24/O24*100</f>
        <v>#DIV/0!</v>
      </c>
    </row>
    <row r="25" spans="1:18" s="1" customFormat="1" x14ac:dyDescent="0.25">
      <c r="A25" s="335"/>
      <c r="B25" s="336"/>
      <c r="C25" s="336"/>
      <c r="D25" s="336"/>
      <c r="E25" s="336"/>
      <c r="F25" s="336"/>
      <c r="G25" s="336"/>
      <c r="H25" s="25"/>
      <c r="I25" s="5" t="s">
        <v>7</v>
      </c>
      <c r="J25" s="12">
        <f t="shared" ref="J25:M25" si="33">J23-J24</f>
        <v>2721893</v>
      </c>
      <c r="K25" s="12">
        <f t="shared" si="33"/>
        <v>0</v>
      </c>
      <c r="L25" s="12">
        <f t="shared" si="33"/>
        <v>0</v>
      </c>
      <c r="M25" s="11" t="e">
        <f t="shared" si="33"/>
        <v>#REF!</v>
      </c>
      <c r="N25" s="11" t="e">
        <f t="shared" ref="N25:O25" si="34">N23-N24</f>
        <v>#REF!</v>
      </c>
      <c r="O25" s="16">
        <f t="shared" si="34"/>
        <v>0</v>
      </c>
      <c r="P25" s="16">
        <f t="shared" ref="P25" si="35">P23-P24</f>
        <v>0</v>
      </c>
      <c r="Q25" s="16">
        <f t="shared" ref="Q25" si="36">Q23-Q24</f>
        <v>0</v>
      </c>
      <c r="R25" s="748" t="e">
        <f t="shared" si="32"/>
        <v>#DIV/0!</v>
      </c>
    </row>
    <row r="26" spans="1:18" s="1" customFormat="1" x14ac:dyDescent="0.25">
      <c r="A26" s="578"/>
      <c r="B26" s="577"/>
      <c r="C26" s="336"/>
      <c r="D26" s="336"/>
      <c r="E26" s="336"/>
      <c r="F26" s="336"/>
      <c r="G26" s="575"/>
      <c r="H26" s="576"/>
      <c r="I26" s="576"/>
      <c r="J26" s="579"/>
      <c r="K26" s="13"/>
      <c r="L26" s="14"/>
      <c r="M26" s="580"/>
      <c r="N26" s="580"/>
      <c r="O26" s="580"/>
      <c r="P26" s="580"/>
      <c r="Q26" s="580"/>
      <c r="R26" s="747"/>
    </row>
    <row r="27" spans="1:18" s="61" customFormat="1" ht="21.6" customHeight="1" x14ac:dyDescent="0.25">
      <c r="A27" s="843" t="s">
        <v>516</v>
      </c>
      <c r="B27" s="844"/>
      <c r="C27" s="844"/>
      <c r="D27" s="844"/>
      <c r="E27" s="844"/>
      <c r="F27" s="844"/>
      <c r="G27" s="844"/>
      <c r="H27" s="844"/>
      <c r="I27" s="844"/>
      <c r="J27" s="844"/>
      <c r="K27" s="844"/>
      <c r="L27" s="844"/>
      <c r="M27" s="844"/>
      <c r="N27" s="844"/>
      <c r="O27" s="844"/>
      <c r="P27" s="844"/>
      <c r="Q27" s="844"/>
      <c r="R27" s="845"/>
    </row>
    <row r="28" spans="1:18" s="1" customFormat="1" x14ac:dyDescent="0.25">
      <c r="A28" s="335"/>
      <c r="B28" s="336"/>
      <c r="C28" s="336"/>
      <c r="D28" s="336"/>
      <c r="E28" s="336"/>
      <c r="F28" s="336"/>
      <c r="G28" s="336"/>
      <c r="H28" s="25">
        <v>9</v>
      </c>
      <c r="I28" s="36" t="s">
        <v>475</v>
      </c>
      <c r="J28" s="12">
        <f t="shared" ref="J28:M28" si="37">SUM(J216)</f>
        <v>610476</v>
      </c>
      <c r="K28" s="12">
        <f t="shared" si="37"/>
        <v>0</v>
      </c>
      <c r="L28" s="12">
        <f t="shared" si="37"/>
        <v>0</v>
      </c>
      <c r="M28" s="11">
        <f t="shared" si="37"/>
        <v>0</v>
      </c>
      <c r="N28" s="11">
        <f t="shared" ref="N28" si="38">SUM(N216)</f>
        <v>0</v>
      </c>
      <c r="O28" s="16">
        <v>900000</v>
      </c>
      <c r="P28" s="16">
        <v>0</v>
      </c>
      <c r="Q28" s="16">
        <f>SUM(O28+P28)</f>
        <v>900000</v>
      </c>
      <c r="R28" s="749">
        <f>Q28/O28*100</f>
        <v>100</v>
      </c>
    </row>
    <row r="29" spans="1:18" s="1" customFormat="1" x14ac:dyDescent="0.25">
      <c r="A29" s="335"/>
      <c r="B29" s="336"/>
      <c r="C29" s="336"/>
      <c r="D29" s="336"/>
      <c r="E29" s="336"/>
      <c r="F29" s="336"/>
      <c r="G29" s="336"/>
      <c r="H29" s="25"/>
      <c r="I29" s="326" t="s">
        <v>474</v>
      </c>
      <c r="J29" s="13"/>
      <c r="K29" s="5"/>
      <c r="L29" s="13"/>
      <c r="M29" s="11">
        <v>0</v>
      </c>
      <c r="N29" s="16">
        <f>M29/7.5345</f>
        <v>0</v>
      </c>
      <c r="O29" s="16">
        <v>746585</v>
      </c>
      <c r="P29" s="16">
        <v>-67200</v>
      </c>
      <c r="Q29" s="16">
        <f>SUM(O29+P29)</f>
        <v>679385</v>
      </c>
      <c r="R29" s="749">
        <f>Q29/O29*100</f>
        <v>90.999015517322206</v>
      </c>
    </row>
    <row r="30" spans="1:18" s="61" customFormat="1" ht="27" customHeight="1" thickBot="1" x14ac:dyDescent="0.3">
      <c r="A30" s="341"/>
      <c r="B30" s="342"/>
      <c r="C30" s="342"/>
      <c r="D30" s="342"/>
      <c r="E30" s="342"/>
      <c r="F30" s="342"/>
      <c r="G30" s="342"/>
      <c r="H30" s="827" t="s">
        <v>9</v>
      </c>
      <c r="I30" s="828"/>
      <c r="J30" s="73" t="e">
        <f>J20+J25+J28</f>
        <v>#REF!</v>
      </c>
      <c r="K30" s="73" t="e">
        <f>K20+K25+K28</f>
        <v>#REF!</v>
      </c>
      <c r="L30" s="73" t="e">
        <f>L20+L25+L28</f>
        <v>#REF!</v>
      </c>
      <c r="M30" s="322" t="e">
        <f t="shared" ref="M30:N30" si="39">M20+M25+M29</f>
        <v>#REF!</v>
      </c>
      <c r="N30" s="322" t="e">
        <f t="shared" si="39"/>
        <v>#REF!</v>
      </c>
      <c r="O30" s="73">
        <f>O20+O25+O29</f>
        <v>0</v>
      </c>
      <c r="P30" s="73">
        <v>0</v>
      </c>
      <c r="Q30" s="73">
        <v>0</v>
      </c>
      <c r="R30" s="750"/>
    </row>
    <row r="31" spans="1:18" s="1" customFormat="1" x14ac:dyDescent="0.25">
      <c r="A31" s="343"/>
      <c r="B31" s="343"/>
      <c r="C31" s="343"/>
      <c r="D31" s="343"/>
      <c r="E31" s="343"/>
      <c r="F31" s="343"/>
      <c r="G31" s="343"/>
      <c r="H31" s="41"/>
      <c r="I31" s="7"/>
      <c r="J31" s="42"/>
      <c r="K31" s="42"/>
      <c r="L31" s="42"/>
      <c r="M31" s="42"/>
      <c r="N31" s="42"/>
      <c r="O31" s="42"/>
      <c r="P31" s="42"/>
      <c r="Q31" s="42"/>
      <c r="R31" s="43"/>
    </row>
    <row r="32" spans="1:18" s="1" customFormat="1" ht="27.6" customHeight="1" x14ac:dyDescent="0.25">
      <c r="A32" s="836" t="s">
        <v>513</v>
      </c>
      <c r="B32" s="836"/>
      <c r="C32" s="836"/>
      <c r="D32" s="836"/>
      <c r="E32" s="836"/>
      <c r="F32" s="836"/>
      <c r="G32" s="836"/>
      <c r="H32" s="836"/>
      <c r="I32" s="836"/>
      <c r="J32" s="836"/>
      <c r="K32" s="836"/>
      <c r="L32" s="836"/>
      <c r="M32" s="836"/>
      <c r="N32" s="836"/>
      <c r="O32" s="836"/>
      <c r="P32" s="836"/>
      <c r="Q32" s="836"/>
      <c r="R32" s="836"/>
    </row>
    <row r="33" spans="1:18" ht="6.75" customHeight="1" thickBot="1" x14ac:dyDescent="0.3">
      <c r="A33" s="343"/>
      <c r="B33" s="343"/>
      <c r="C33" s="343"/>
      <c r="D33" s="343"/>
      <c r="E33" s="343"/>
      <c r="F33" s="343"/>
      <c r="G33" s="343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s="480" customFormat="1" ht="43.95" customHeight="1" thickBot="1" x14ac:dyDescent="0.3">
      <c r="A34" s="474" t="s">
        <v>502</v>
      </c>
      <c r="B34" s="475"/>
      <c r="C34" s="475"/>
      <c r="D34" s="475"/>
      <c r="E34" s="475"/>
      <c r="F34" s="475"/>
      <c r="G34" s="475"/>
      <c r="H34" s="476" t="s">
        <v>10</v>
      </c>
      <c r="I34" s="477" t="s">
        <v>11</v>
      </c>
      <c r="J34" s="478" t="s">
        <v>167</v>
      </c>
      <c r="K34" s="478" t="s">
        <v>168</v>
      </c>
      <c r="L34" s="478" t="s">
        <v>169</v>
      </c>
      <c r="M34" s="479" t="s">
        <v>478</v>
      </c>
      <c r="N34" s="479" t="s">
        <v>478</v>
      </c>
      <c r="O34" s="583" t="s">
        <v>599</v>
      </c>
      <c r="P34" s="751" t="s">
        <v>674</v>
      </c>
      <c r="Q34" s="751" t="s">
        <v>675</v>
      </c>
      <c r="R34" s="752" t="s">
        <v>676</v>
      </c>
    </row>
    <row r="35" spans="1:18" s="486" customFormat="1" ht="21" customHeight="1" thickBot="1" x14ac:dyDescent="0.25">
      <c r="A35" s="481"/>
      <c r="B35" s="482"/>
      <c r="C35" s="482"/>
      <c r="D35" s="482"/>
      <c r="E35" s="482"/>
      <c r="F35" s="482"/>
      <c r="G35" s="482"/>
      <c r="H35" s="483"/>
      <c r="I35" s="484"/>
      <c r="J35" s="485"/>
      <c r="K35" s="485"/>
      <c r="L35" s="485"/>
      <c r="M35" s="485"/>
      <c r="N35" s="485"/>
      <c r="O35" s="584">
        <v>1</v>
      </c>
      <c r="P35" s="584">
        <v>2</v>
      </c>
      <c r="Q35" s="584">
        <v>3</v>
      </c>
      <c r="R35" s="753">
        <v>4</v>
      </c>
    </row>
    <row r="36" spans="1:18" s="508" customFormat="1" ht="10.8" thickBot="1" x14ac:dyDescent="0.25">
      <c r="A36" s="509"/>
      <c r="B36" s="507"/>
      <c r="C36" s="507"/>
      <c r="D36" s="507"/>
      <c r="E36" s="507"/>
      <c r="F36" s="507"/>
      <c r="G36" s="507"/>
      <c r="H36" s="515"/>
      <c r="I36" s="516"/>
      <c r="J36" s="517"/>
      <c r="K36" s="517"/>
      <c r="L36" s="517"/>
      <c r="M36" s="517"/>
      <c r="N36" s="517"/>
      <c r="O36" s="585"/>
      <c r="P36" s="585"/>
      <c r="Q36" s="585"/>
      <c r="R36" s="517"/>
    </row>
    <row r="37" spans="1:18" s="40" customFormat="1" ht="16.2" customHeight="1" thickBot="1" x14ac:dyDescent="0.3">
      <c r="A37" s="510"/>
      <c r="B37" s="506"/>
      <c r="C37" s="506"/>
      <c r="D37" s="506"/>
      <c r="E37" s="506"/>
      <c r="F37" s="506"/>
      <c r="G37" s="506"/>
      <c r="H37" s="511" t="s">
        <v>0</v>
      </c>
      <c r="I37" s="512"/>
      <c r="J37" s="513"/>
      <c r="K37" s="513"/>
      <c r="L37" s="513"/>
      <c r="M37" s="513"/>
      <c r="N37" s="513"/>
      <c r="O37" s="586"/>
      <c r="P37" s="586"/>
      <c r="Q37" s="586"/>
      <c r="R37" s="514"/>
    </row>
    <row r="38" spans="1:18" s="48" customFormat="1" ht="13.8" thickBot="1" x14ac:dyDescent="0.3">
      <c r="A38" s="462"/>
      <c r="B38" s="344"/>
      <c r="C38" s="344"/>
      <c r="D38" s="344"/>
      <c r="E38" s="344"/>
      <c r="F38" s="344"/>
      <c r="G38" s="344"/>
      <c r="H38" s="45">
        <v>6</v>
      </c>
      <c r="I38" s="46" t="s">
        <v>1</v>
      </c>
      <c r="J38" s="47" t="e">
        <f>SUM(J39+J54+J64+J75+#REF!+J91)</f>
        <v>#REF!</v>
      </c>
      <c r="K38" s="47" t="e">
        <f>SUM(K39+K54+K64+K75+#REF!)</f>
        <v>#REF!</v>
      </c>
      <c r="L38" s="47" t="e">
        <f>SUM(L39+L54+L64+L75+#REF!)</f>
        <v>#REF!</v>
      </c>
      <c r="M38" s="47">
        <f t="shared" ref="M38:O38" si="40">SUM(M39+M54+M64+M75+M88+M91)</f>
        <v>9929500</v>
      </c>
      <c r="N38" s="47">
        <f t="shared" si="40"/>
        <v>1317871.1261530295</v>
      </c>
      <c r="O38" s="47">
        <f t="shared" si="40"/>
        <v>2891775</v>
      </c>
      <c r="P38" s="47">
        <f t="shared" ref="P38:Q38" si="41">SUM(P39+P54+P64+P75+P88+P91)</f>
        <v>100000</v>
      </c>
      <c r="Q38" s="47">
        <f t="shared" si="41"/>
        <v>2991775</v>
      </c>
      <c r="R38" s="754">
        <f>Q38/O38*100</f>
        <v>103.45808370291603</v>
      </c>
    </row>
    <row r="39" spans="1:18" s="65" customFormat="1" x14ac:dyDescent="0.25">
      <c r="A39" s="463"/>
      <c r="B39" s="345"/>
      <c r="C39" s="345"/>
      <c r="D39" s="345"/>
      <c r="E39" s="345"/>
      <c r="F39" s="345"/>
      <c r="G39" s="345"/>
      <c r="H39" s="62">
        <v>61</v>
      </c>
      <c r="I39" s="63" t="s">
        <v>12</v>
      </c>
      <c r="J39" s="64" t="e">
        <f>SUM(J40+#REF!+J48+J51+#REF!)</f>
        <v>#REF!</v>
      </c>
      <c r="K39" s="64" t="e">
        <f>SUM(K40+#REF!+K48+K51+#REF!)</f>
        <v>#REF!</v>
      </c>
      <c r="L39" s="64" t="e">
        <f>SUM(L40+#REF!+L48+L51+#REF!)</f>
        <v>#REF!</v>
      </c>
      <c r="M39" s="64">
        <f t="shared" ref="M39" si="42">SUM(M40+M48+M51)</f>
        <v>3691000</v>
      </c>
      <c r="N39" s="64">
        <f t="shared" ref="N39:O39" si="43">SUM(N40+N48+N51)</f>
        <v>489879.88585838472</v>
      </c>
      <c r="O39" s="64">
        <f t="shared" si="43"/>
        <v>1013900</v>
      </c>
      <c r="P39" s="64">
        <f t="shared" ref="P39" si="44">SUM(P40+P48+P51)</f>
        <v>-65000</v>
      </c>
      <c r="Q39" s="64">
        <f t="shared" ref="Q39" si="45">SUM(Q40+Q48+Q51)</f>
        <v>948900</v>
      </c>
      <c r="R39" s="755">
        <f>Q39/O39*100</f>
        <v>93.589111352204355</v>
      </c>
    </row>
    <row r="40" spans="1:18" s="1" customFormat="1" x14ac:dyDescent="0.25">
      <c r="A40" s="464"/>
      <c r="B40" s="336"/>
      <c r="C40" s="336"/>
      <c r="D40" s="336"/>
      <c r="E40" s="336"/>
      <c r="F40" s="336"/>
      <c r="G40" s="336"/>
      <c r="H40" s="23">
        <v>611</v>
      </c>
      <c r="I40" s="8" t="s">
        <v>13</v>
      </c>
      <c r="J40" s="12">
        <f t="shared" ref="J40:L40" si="46">SUM(J41:J47)</f>
        <v>2154483</v>
      </c>
      <c r="K40" s="12">
        <f t="shared" si="46"/>
        <v>1910000</v>
      </c>
      <c r="L40" s="12">
        <f t="shared" si="46"/>
        <v>2210000</v>
      </c>
      <c r="M40" s="12">
        <f t="shared" ref="M40:Q40" si="47">SUM(M41:M47)</f>
        <v>3445000</v>
      </c>
      <c r="N40" s="12">
        <f t="shared" si="47"/>
        <v>457230.07498838671</v>
      </c>
      <c r="O40" s="12">
        <f t="shared" si="47"/>
        <v>946000</v>
      </c>
      <c r="P40" s="12">
        <f t="shared" si="47"/>
        <v>-65000</v>
      </c>
      <c r="Q40" s="12">
        <f t="shared" si="47"/>
        <v>881000</v>
      </c>
      <c r="R40" s="756">
        <f>Q40/O40*100</f>
        <v>93.128964059196619</v>
      </c>
    </row>
    <row r="41" spans="1:18" x14ac:dyDescent="0.25">
      <c r="A41" s="464" t="s">
        <v>545</v>
      </c>
      <c r="B41" s="336"/>
      <c r="C41" s="336"/>
      <c r="D41" s="336"/>
      <c r="E41" s="336"/>
      <c r="F41" s="336"/>
      <c r="G41" s="336"/>
      <c r="H41" s="24">
        <v>6111</v>
      </c>
      <c r="I41" s="44" t="s">
        <v>14</v>
      </c>
      <c r="J41" s="16">
        <v>1821860</v>
      </c>
      <c r="K41" s="16">
        <v>1700000</v>
      </c>
      <c r="L41" s="16">
        <v>2000000</v>
      </c>
      <c r="M41" s="16">
        <v>2800000</v>
      </c>
      <c r="N41" s="16">
        <f t="shared" ref="N41:N47" si="48">M41/7.5345</f>
        <v>371623.86356095294</v>
      </c>
      <c r="O41" s="16">
        <v>800000</v>
      </c>
      <c r="P41" s="16">
        <v>0</v>
      </c>
      <c r="Q41" s="16">
        <f>SUM(O41+P41)</f>
        <v>800000</v>
      </c>
      <c r="R41" s="749">
        <f t="shared" ref="R41:R53" si="49">Q41/O41*100</f>
        <v>100</v>
      </c>
    </row>
    <row r="42" spans="1:18" x14ac:dyDescent="0.25">
      <c r="A42" s="464" t="s">
        <v>545</v>
      </c>
      <c r="B42" s="336"/>
      <c r="C42" s="336"/>
      <c r="D42" s="336"/>
      <c r="E42" s="336"/>
      <c r="F42" s="336"/>
      <c r="G42" s="336"/>
      <c r="H42" s="24">
        <v>6112</v>
      </c>
      <c r="I42" s="44" t="s">
        <v>15</v>
      </c>
      <c r="J42" s="16">
        <v>175805</v>
      </c>
      <c r="K42" s="16">
        <v>100000</v>
      </c>
      <c r="L42" s="16">
        <v>100000</v>
      </c>
      <c r="M42" s="16">
        <v>450000</v>
      </c>
      <c r="N42" s="16">
        <f t="shared" si="48"/>
        <v>59725.263786581723</v>
      </c>
      <c r="O42" s="16">
        <v>75000</v>
      </c>
      <c r="P42" s="16">
        <v>0</v>
      </c>
      <c r="Q42" s="16">
        <f t="shared" ref="Q42:Q47" si="50">SUM(O42+P42)</f>
        <v>75000</v>
      </c>
      <c r="R42" s="749">
        <f t="shared" si="49"/>
        <v>100</v>
      </c>
    </row>
    <row r="43" spans="1:18" x14ac:dyDescent="0.25">
      <c r="A43" s="464" t="s">
        <v>545</v>
      </c>
      <c r="B43" s="336"/>
      <c r="C43" s="336"/>
      <c r="D43" s="336"/>
      <c r="E43" s="336"/>
      <c r="F43" s="336"/>
      <c r="G43" s="336"/>
      <c r="H43" s="24">
        <v>6113</v>
      </c>
      <c r="I43" s="44" t="s">
        <v>346</v>
      </c>
      <c r="J43" s="16">
        <v>30942</v>
      </c>
      <c r="K43" s="16">
        <v>20000</v>
      </c>
      <c r="L43" s="16">
        <v>20000</v>
      </c>
      <c r="M43" s="16">
        <v>90000</v>
      </c>
      <c r="N43" s="16">
        <f t="shared" si="48"/>
        <v>11945.052757316344</v>
      </c>
      <c r="O43" s="16">
        <v>25000</v>
      </c>
      <c r="P43" s="16">
        <v>0</v>
      </c>
      <c r="Q43" s="16">
        <f t="shared" si="50"/>
        <v>25000</v>
      </c>
      <c r="R43" s="749">
        <f t="shared" si="49"/>
        <v>100</v>
      </c>
    </row>
    <row r="44" spans="1:18" x14ac:dyDescent="0.25">
      <c r="A44" s="464" t="s">
        <v>545</v>
      </c>
      <c r="B44" s="336"/>
      <c r="C44" s="336"/>
      <c r="D44" s="336"/>
      <c r="E44" s="336"/>
      <c r="F44" s="336"/>
      <c r="G44" s="336"/>
      <c r="H44" s="24">
        <v>6114</v>
      </c>
      <c r="I44" s="15" t="s">
        <v>111</v>
      </c>
      <c r="J44" s="16">
        <v>64474</v>
      </c>
      <c r="K44" s="16">
        <v>30000</v>
      </c>
      <c r="L44" s="16">
        <v>30000</v>
      </c>
      <c r="M44" s="16">
        <v>400000</v>
      </c>
      <c r="N44" s="16">
        <f t="shared" si="48"/>
        <v>53089.123365850421</v>
      </c>
      <c r="O44" s="16">
        <v>75000</v>
      </c>
      <c r="P44" s="16">
        <v>0</v>
      </c>
      <c r="Q44" s="16">
        <f t="shared" si="50"/>
        <v>75000</v>
      </c>
      <c r="R44" s="749">
        <f t="shared" si="49"/>
        <v>100</v>
      </c>
    </row>
    <row r="45" spans="1:18" x14ac:dyDescent="0.25">
      <c r="A45" s="464" t="s">
        <v>545</v>
      </c>
      <c r="B45" s="336"/>
      <c r="C45" s="336"/>
      <c r="D45" s="336"/>
      <c r="E45" s="336"/>
      <c r="F45" s="336"/>
      <c r="G45" s="336"/>
      <c r="H45" s="24">
        <v>6115</v>
      </c>
      <c r="I45" s="15" t="s">
        <v>16</v>
      </c>
      <c r="J45" s="16">
        <v>61402</v>
      </c>
      <c r="K45" s="16">
        <v>50000</v>
      </c>
      <c r="L45" s="16">
        <v>50000</v>
      </c>
      <c r="M45" s="16">
        <v>250000</v>
      </c>
      <c r="N45" s="16">
        <f t="shared" si="48"/>
        <v>33180.702103656513</v>
      </c>
      <c r="O45" s="16">
        <v>50000</v>
      </c>
      <c r="P45" s="16">
        <v>0</v>
      </c>
      <c r="Q45" s="16">
        <f t="shared" si="50"/>
        <v>50000</v>
      </c>
      <c r="R45" s="749">
        <f t="shared" si="49"/>
        <v>100</v>
      </c>
    </row>
    <row r="46" spans="1:18" x14ac:dyDescent="0.25">
      <c r="A46" s="464" t="s">
        <v>545</v>
      </c>
      <c r="B46" s="336"/>
      <c r="C46" s="336"/>
      <c r="D46" s="336"/>
      <c r="E46" s="336"/>
      <c r="F46" s="336"/>
      <c r="G46" s="336"/>
      <c r="H46" s="24">
        <v>6116</v>
      </c>
      <c r="I46" s="15" t="s">
        <v>120</v>
      </c>
      <c r="J46" s="16">
        <v>0</v>
      </c>
      <c r="K46" s="16">
        <v>10000</v>
      </c>
      <c r="L46" s="16">
        <v>10000</v>
      </c>
      <c r="M46" s="16">
        <v>5000</v>
      </c>
      <c r="N46" s="16">
        <f t="shared" si="48"/>
        <v>663.61404207313024</v>
      </c>
      <c r="O46" s="16">
        <v>1000</v>
      </c>
      <c r="P46" s="16">
        <v>0</v>
      </c>
      <c r="Q46" s="16">
        <f t="shared" si="50"/>
        <v>1000</v>
      </c>
      <c r="R46" s="749">
        <f t="shared" si="49"/>
        <v>100</v>
      </c>
    </row>
    <row r="47" spans="1:18" x14ac:dyDescent="0.25">
      <c r="A47" s="464" t="s">
        <v>545</v>
      </c>
      <c r="B47" s="336"/>
      <c r="C47" s="336"/>
      <c r="D47" s="336"/>
      <c r="E47" s="336"/>
      <c r="F47" s="336"/>
      <c r="G47" s="336"/>
      <c r="H47" s="24">
        <v>6117</v>
      </c>
      <c r="I47" s="44" t="s">
        <v>345</v>
      </c>
      <c r="J47" s="16">
        <v>0</v>
      </c>
      <c r="K47" s="16">
        <v>0</v>
      </c>
      <c r="L47" s="16">
        <v>0</v>
      </c>
      <c r="M47" s="16">
        <v>-550000</v>
      </c>
      <c r="N47" s="16">
        <f t="shared" si="48"/>
        <v>-72997.544628044328</v>
      </c>
      <c r="O47" s="16">
        <v>-80000</v>
      </c>
      <c r="P47" s="16">
        <v>-65000</v>
      </c>
      <c r="Q47" s="16">
        <f t="shared" si="50"/>
        <v>-145000</v>
      </c>
      <c r="R47" s="749">
        <f t="shared" si="49"/>
        <v>181.25</v>
      </c>
    </row>
    <row r="48" spans="1:18" s="1" customFormat="1" x14ac:dyDescent="0.25">
      <c r="A48" s="464"/>
      <c r="B48" s="336"/>
      <c r="C48" s="336"/>
      <c r="D48" s="336"/>
      <c r="E48" s="336"/>
      <c r="F48" s="336"/>
      <c r="G48" s="336"/>
      <c r="H48" s="23">
        <v>613</v>
      </c>
      <c r="I48" s="8" t="s">
        <v>17</v>
      </c>
      <c r="J48" s="12" t="e">
        <f>SUM(J49+J50)</f>
        <v>#REF!</v>
      </c>
      <c r="K48" s="12" t="e">
        <f>SUM(K49+K50)</f>
        <v>#REF!</v>
      </c>
      <c r="L48" s="12" t="e">
        <f>SUM(L49+L50)</f>
        <v>#REF!</v>
      </c>
      <c r="M48" s="12">
        <f t="shared" ref="M48:O48" si="51">M49+M50</f>
        <v>200000</v>
      </c>
      <c r="N48" s="12">
        <f t="shared" si="51"/>
        <v>26544.56168292521</v>
      </c>
      <c r="O48" s="12">
        <f t="shared" si="51"/>
        <v>60000</v>
      </c>
      <c r="P48" s="12">
        <f t="shared" ref="P48:Q48" si="52">P49+P50</f>
        <v>0</v>
      </c>
      <c r="Q48" s="12">
        <f t="shared" si="52"/>
        <v>60000</v>
      </c>
      <c r="R48" s="756">
        <f t="shared" si="49"/>
        <v>100</v>
      </c>
    </row>
    <row r="49" spans="1:18" x14ac:dyDescent="0.25">
      <c r="A49" s="464" t="s">
        <v>545</v>
      </c>
      <c r="B49" s="336"/>
      <c r="C49" s="336"/>
      <c r="D49" s="336"/>
      <c r="E49" s="336"/>
      <c r="F49" s="336"/>
      <c r="G49" s="336"/>
      <c r="H49" s="26">
        <v>6131</v>
      </c>
      <c r="I49" s="10" t="s">
        <v>18</v>
      </c>
      <c r="J49" s="12" t="e">
        <f>SUM(#REF!)</f>
        <v>#REF!</v>
      </c>
      <c r="K49" s="12" t="e">
        <f>SUM(#REF!)</f>
        <v>#REF!</v>
      </c>
      <c r="L49" s="12" t="e">
        <f>SUM(#REF!)</f>
        <v>#REF!</v>
      </c>
      <c r="M49" s="11">
        <v>0</v>
      </c>
      <c r="N49" s="16">
        <f>M49/7.5345</f>
        <v>0</v>
      </c>
      <c r="O49" s="16">
        <v>0</v>
      </c>
      <c r="P49" s="16">
        <v>0</v>
      </c>
      <c r="Q49" s="16">
        <f>SUM(O49+P49)</f>
        <v>0</v>
      </c>
      <c r="R49" s="749" t="e">
        <f t="shared" si="49"/>
        <v>#DIV/0!</v>
      </c>
    </row>
    <row r="50" spans="1:18" s="28" customFormat="1" x14ac:dyDescent="0.25">
      <c r="A50" s="464" t="s">
        <v>545</v>
      </c>
      <c r="B50" s="336"/>
      <c r="C50" s="336"/>
      <c r="D50" s="336"/>
      <c r="E50" s="336"/>
      <c r="F50" s="336"/>
      <c r="G50" s="336"/>
      <c r="H50" s="26">
        <v>6134</v>
      </c>
      <c r="I50" s="10" t="s">
        <v>19</v>
      </c>
      <c r="J50" s="11" t="e">
        <f>SUM(#REF!)</f>
        <v>#REF!</v>
      </c>
      <c r="K50" s="11" t="e">
        <f>SUM(#REF!)</f>
        <v>#REF!</v>
      </c>
      <c r="L50" s="11" t="e">
        <f>SUM(#REF!)</f>
        <v>#REF!</v>
      </c>
      <c r="M50" s="11">
        <v>200000</v>
      </c>
      <c r="N50" s="16">
        <f>M50/7.5345</f>
        <v>26544.56168292521</v>
      </c>
      <c r="O50" s="16">
        <v>60000</v>
      </c>
      <c r="P50" s="16">
        <v>0</v>
      </c>
      <c r="Q50" s="16">
        <f>SUM(O50+P50)</f>
        <v>60000</v>
      </c>
      <c r="R50" s="749">
        <f t="shared" si="49"/>
        <v>100</v>
      </c>
    </row>
    <row r="51" spans="1:18" s="1" customFormat="1" x14ac:dyDescent="0.25">
      <c r="A51" s="464"/>
      <c r="B51" s="336"/>
      <c r="C51" s="336"/>
      <c r="D51" s="336"/>
      <c r="E51" s="336"/>
      <c r="F51" s="336"/>
      <c r="G51" s="336"/>
      <c r="H51" s="23">
        <v>614</v>
      </c>
      <c r="I51" s="8" t="s">
        <v>20</v>
      </c>
      <c r="J51" s="12" t="e">
        <f t="shared" ref="J51:M51" si="53">SUM(J52+J53)</f>
        <v>#REF!</v>
      </c>
      <c r="K51" s="12" t="e">
        <f t="shared" si="53"/>
        <v>#REF!</v>
      </c>
      <c r="L51" s="12" t="e">
        <f t="shared" si="53"/>
        <v>#REF!</v>
      </c>
      <c r="M51" s="12">
        <f t="shared" si="53"/>
        <v>46000</v>
      </c>
      <c r="N51" s="12">
        <f t="shared" ref="N51:O51" si="54">SUM(N52+N53)</f>
        <v>6105.2491870727981</v>
      </c>
      <c r="O51" s="12">
        <f t="shared" si="54"/>
        <v>7900</v>
      </c>
      <c r="P51" s="12">
        <f t="shared" ref="P51" si="55">SUM(P52+P53)</f>
        <v>0</v>
      </c>
      <c r="Q51" s="12">
        <f t="shared" ref="Q51" si="56">SUM(Q52+Q53)</f>
        <v>7900</v>
      </c>
      <c r="R51" s="756">
        <f t="shared" si="49"/>
        <v>100</v>
      </c>
    </row>
    <row r="52" spans="1:18" x14ac:dyDescent="0.25">
      <c r="A52" s="464" t="s">
        <v>545</v>
      </c>
      <c r="B52" s="336"/>
      <c r="C52" s="336"/>
      <c r="D52" s="336"/>
      <c r="E52" s="336"/>
      <c r="F52" s="336"/>
      <c r="G52" s="336"/>
      <c r="H52" s="26">
        <v>6142</v>
      </c>
      <c r="I52" s="10" t="s">
        <v>21</v>
      </c>
      <c r="J52" s="11" t="e">
        <f>SUM(#REF!)</f>
        <v>#REF!</v>
      </c>
      <c r="K52" s="11" t="e">
        <f>SUM(#REF!)</f>
        <v>#REF!</v>
      </c>
      <c r="L52" s="11" t="e">
        <f>SUM(#REF!)</f>
        <v>#REF!</v>
      </c>
      <c r="M52" s="11">
        <v>45000</v>
      </c>
      <c r="N52" s="16">
        <f>M52/7.5345</f>
        <v>5972.5263786581718</v>
      </c>
      <c r="O52" s="16">
        <v>7400</v>
      </c>
      <c r="P52" s="16">
        <v>0</v>
      </c>
      <c r="Q52" s="16">
        <f>SUM(O52+P52)</f>
        <v>7400</v>
      </c>
      <c r="R52" s="749">
        <f t="shared" si="49"/>
        <v>100</v>
      </c>
    </row>
    <row r="53" spans="1:18" s="28" customFormat="1" x14ac:dyDescent="0.25">
      <c r="A53" s="464" t="s">
        <v>545</v>
      </c>
      <c r="B53" s="336"/>
      <c r="C53" s="336"/>
      <c r="D53" s="336"/>
      <c r="E53" s="336"/>
      <c r="F53" s="336"/>
      <c r="G53" s="336"/>
      <c r="H53" s="26">
        <v>6145</v>
      </c>
      <c r="I53" s="10" t="s">
        <v>22</v>
      </c>
      <c r="J53" s="11" t="e">
        <f>SUM(#REF!)</f>
        <v>#REF!</v>
      </c>
      <c r="K53" s="11" t="e">
        <f>SUM(#REF!)</f>
        <v>#REF!</v>
      </c>
      <c r="L53" s="11" t="e">
        <f>SUM(#REF!)</f>
        <v>#REF!</v>
      </c>
      <c r="M53" s="11">
        <v>1000</v>
      </c>
      <c r="N53" s="16">
        <f>M53/7.5345</f>
        <v>132.72280841462606</v>
      </c>
      <c r="O53" s="16">
        <v>500</v>
      </c>
      <c r="P53" s="16">
        <v>0</v>
      </c>
      <c r="Q53" s="16">
        <f>SUM(O53+P53)</f>
        <v>500</v>
      </c>
      <c r="R53" s="749">
        <f t="shared" si="49"/>
        <v>100</v>
      </c>
    </row>
    <row r="54" spans="1:18" s="65" customFormat="1" ht="12" customHeight="1" x14ac:dyDescent="0.25">
      <c r="A54" s="465"/>
      <c r="B54" s="346"/>
      <c r="C54" s="346"/>
      <c r="D54" s="346"/>
      <c r="E54" s="346"/>
      <c r="F54" s="346"/>
      <c r="G54" s="346"/>
      <c r="H54" s="66">
        <v>63</v>
      </c>
      <c r="I54" s="67" t="s">
        <v>23</v>
      </c>
      <c r="J54" s="68" t="e">
        <f>SUM(J55+J58)</f>
        <v>#REF!</v>
      </c>
      <c r="K54" s="68" t="e">
        <f>SUM(K55+K58)</f>
        <v>#REF!</v>
      </c>
      <c r="L54" s="68" t="e">
        <f>SUM(L55+L58)</f>
        <v>#REF!</v>
      </c>
      <c r="M54" s="68">
        <f t="shared" ref="M54:O54" si="57">SUM(M55+M58+M61)</f>
        <v>4145000</v>
      </c>
      <c r="N54" s="68">
        <f t="shared" si="57"/>
        <v>550136.040878625</v>
      </c>
      <c r="O54" s="68">
        <f t="shared" si="57"/>
        <v>1601175</v>
      </c>
      <c r="P54" s="68">
        <f t="shared" ref="P54:Q54" si="58">SUM(P55+P58+P61)</f>
        <v>0</v>
      </c>
      <c r="Q54" s="68">
        <f t="shared" si="58"/>
        <v>1601175</v>
      </c>
      <c r="R54" s="755">
        <f>Q54/O54*100</f>
        <v>100</v>
      </c>
    </row>
    <row r="55" spans="1:18" s="1" customFormat="1" x14ac:dyDescent="0.25">
      <c r="A55" s="464"/>
      <c r="B55" s="336"/>
      <c r="C55" s="336"/>
      <c r="D55" s="336" t="s">
        <v>366</v>
      </c>
      <c r="E55" s="336"/>
      <c r="F55" s="336"/>
      <c r="G55" s="336"/>
      <c r="H55" s="23">
        <v>633</v>
      </c>
      <c r="I55" s="8" t="s">
        <v>24</v>
      </c>
      <c r="J55" s="12">
        <f t="shared" ref="J55:M55" si="59">SUM(J56:J57)</f>
        <v>949030</v>
      </c>
      <c r="K55" s="12">
        <f t="shared" si="59"/>
        <v>800000</v>
      </c>
      <c r="L55" s="12">
        <f t="shared" si="59"/>
        <v>1280000</v>
      </c>
      <c r="M55" s="12">
        <f t="shared" si="59"/>
        <v>3700000</v>
      </c>
      <c r="N55" s="12">
        <f t="shared" ref="N55:O55" si="60">SUM(N56:N57)</f>
        <v>491074.39113411639</v>
      </c>
      <c r="O55" s="12">
        <f t="shared" si="60"/>
        <v>565700</v>
      </c>
      <c r="P55" s="12">
        <f t="shared" ref="P55" si="61">SUM(P56:P57)</f>
        <v>0</v>
      </c>
      <c r="Q55" s="12">
        <f t="shared" ref="Q55" si="62">SUM(Q56:Q57)</f>
        <v>565700</v>
      </c>
      <c r="R55" s="756">
        <f>Q55/O55*100</f>
        <v>100</v>
      </c>
    </row>
    <row r="56" spans="1:18" x14ac:dyDescent="0.25">
      <c r="A56" s="464" t="s">
        <v>533</v>
      </c>
      <c r="B56" s="336"/>
      <c r="C56" s="336"/>
      <c r="D56" s="336"/>
      <c r="E56" s="336"/>
      <c r="F56" s="336"/>
      <c r="G56" s="336"/>
      <c r="H56" s="24">
        <v>6331</v>
      </c>
      <c r="I56" s="15" t="s">
        <v>378</v>
      </c>
      <c r="J56" s="16">
        <v>949030</v>
      </c>
      <c r="K56" s="16">
        <v>600000</v>
      </c>
      <c r="L56" s="16">
        <v>1180000</v>
      </c>
      <c r="M56" s="16">
        <v>2700000</v>
      </c>
      <c r="N56" s="16">
        <f>M56/7.5345</f>
        <v>358351.58271949034</v>
      </c>
      <c r="O56" s="610">
        <v>426000</v>
      </c>
      <c r="P56" s="16">
        <v>0</v>
      </c>
      <c r="Q56" s="16">
        <f>SUM(O56+P56)</f>
        <v>426000</v>
      </c>
      <c r="R56" s="749">
        <f t="shared" ref="R56:R63" si="63">Q56/O56*100</f>
        <v>100</v>
      </c>
    </row>
    <row r="57" spans="1:18" x14ac:dyDescent="0.25">
      <c r="A57" s="464" t="s">
        <v>534</v>
      </c>
      <c r="B57" s="336"/>
      <c r="C57" s="336"/>
      <c r="D57" s="336"/>
      <c r="E57" s="336"/>
      <c r="F57" s="336"/>
      <c r="G57" s="336"/>
      <c r="H57" s="24">
        <v>6332</v>
      </c>
      <c r="I57" s="15" t="s">
        <v>592</v>
      </c>
      <c r="J57" s="16">
        <v>0</v>
      </c>
      <c r="K57" s="16">
        <v>200000</v>
      </c>
      <c r="L57" s="16">
        <v>100000</v>
      </c>
      <c r="M57" s="16">
        <v>1000000</v>
      </c>
      <c r="N57" s="16">
        <f>M57/7.5345</f>
        <v>132722.80841462605</v>
      </c>
      <c r="O57" s="16">
        <v>139700</v>
      </c>
      <c r="P57" s="16">
        <v>0</v>
      </c>
      <c r="Q57" s="16">
        <f>SUM(O57+P57)</f>
        <v>139700</v>
      </c>
      <c r="R57" s="749">
        <f t="shared" si="63"/>
        <v>100</v>
      </c>
    </row>
    <row r="58" spans="1:18" s="1" customFormat="1" x14ac:dyDescent="0.25">
      <c r="A58" s="464"/>
      <c r="B58" s="336"/>
      <c r="C58" s="336"/>
      <c r="D58" s="336" t="s">
        <v>366</v>
      </c>
      <c r="E58" s="336"/>
      <c r="F58" s="336"/>
      <c r="G58" s="336"/>
      <c r="H58" s="23">
        <v>634</v>
      </c>
      <c r="I58" s="8" t="s">
        <v>370</v>
      </c>
      <c r="J58" s="12" t="e">
        <f>SUM(J59:J62)</f>
        <v>#REF!</v>
      </c>
      <c r="K58" s="12" t="e">
        <f>SUM(K59:K62)</f>
        <v>#REF!</v>
      </c>
      <c r="L58" s="12" t="e">
        <f>SUM(L59:L62)</f>
        <v>#REF!</v>
      </c>
      <c r="M58" s="12">
        <f t="shared" ref="M58:Q58" si="64">M59+M60</f>
        <v>80000</v>
      </c>
      <c r="N58" s="12">
        <f t="shared" si="64"/>
        <v>10617.824673170084</v>
      </c>
      <c r="O58" s="12">
        <f t="shared" si="64"/>
        <v>13000</v>
      </c>
      <c r="P58" s="12">
        <f t="shared" si="64"/>
        <v>0</v>
      </c>
      <c r="Q58" s="12">
        <f t="shared" si="64"/>
        <v>13000</v>
      </c>
      <c r="R58" s="756">
        <f t="shared" si="63"/>
        <v>100</v>
      </c>
    </row>
    <row r="59" spans="1:18" x14ac:dyDescent="0.25">
      <c r="A59" s="464" t="s">
        <v>535</v>
      </c>
      <c r="B59" s="336"/>
      <c r="C59" s="336"/>
      <c r="D59" s="336"/>
      <c r="E59" s="336"/>
      <c r="F59" s="336"/>
      <c r="G59" s="336"/>
      <c r="H59" s="24">
        <v>6341</v>
      </c>
      <c r="I59" s="15" t="s">
        <v>373</v>
      </c>
      <c r="J59" s="16">
        <v>0</v>
      </c>
      <c r="K59" s="16">
        <v>0</v>
      </c>
      <c r="L59" s="16">
        <v>0</v>
      </c>
      <c r="M59" s="16">
        <v>80000</v>
      </c>
      <c r="N59" s="16">
        <f>M59/7.5345</f>
        <v>10617.824673170084</v>
      </c>
      <c r="O59" s="16">
        <v>13000</v>
      </c>
      <c r="P59" s="16">
        <v>0</v>
      </c>
      <c r="Q59" s="16">
        <f>SUM(O59+P59)</f>
        <v>13000</v>
      </c>
      <c r="R59" s="749">
        <f t="shared" si="63"/>
        <v>100</v>
      </c>
    </row>
    <row r="60" spans="1:18" x14ac:dyDescent="0.25">
      <c r="A60" s="464" t="s">
        <v>536</v>
      </c>
      <c r="B60" s="336"/>
      <c r="C60" s="336"/>
      <c r="D60" s="336"/>
      <c r="E60" s="336"/>
      <c r="F60" s="336"/>
      <c r="G60" s="336"/>
      <c r="H60" s="24">
        <v>6342</v>
      </c>
      <c r="I60" s="44" t="s">
        <v>372</v>
      </c>
      <c r="J60" s="16">
        <v>0</v>
      </c>
      <c r="K60" s="16">
        <v>0</v>
      </c>
      <c r="L60" s="16">
        <v>0</v>
      </c>
      <c r="M60" s="16"/>
      <c r="N60" s="16">
        <f>M60/7.5345</f>
        <v>0</v>
      </c>
      <c r="O60" s="16">
        <v>0</v>
      </c>
      <c r="P60" s="16">
        <v>0</v>
      </c>
      <c r="Q60" s="16">
        <f>SUM(O60+P60)</f>
        <v>0</v>
      </c>
      <c r="R60" s="749" t="e">
        <f t="shared" si="63"/>
        <v>#DIV/0!</v>
      </c>
    </row>
    <row r="61" spans="1:18" s="1" customFormat="1" ht="21" x14ac:dyDescent="0.25">
      <c r="A61" s="464"/>
      <c r="B61" s="336"/>
      <c r="C61" s="336"/>
      <c r="D61" s="336" t="s">
        <v>366</v>
      </c>
      <c r="E61" s="336"/>
      <c r="F61" s="336"/>
      <c r="G61" s="336"/>
      <c r="H61" s="23">
        <v>638</v>
      </c>
      <c r="I61" s="8" t="s">
        <v>371</v>
      </c>
      <c r="J61" s="12" t="e">
        <f>SUM(J62:J65)</f>
        <v>#REF!</v>
      </c>
      <c r="K61" s="12" t="e">
        <f>SUM(K62:K65)</f>
        <v>#REF!</v>
      </c>
      <c r="L61" s="12" t="e">
        <f>SUM(L62:L65)</f>
        <v>#REF!</v>
      </c>
      <c r="M61" s="12">
        <f t="shared" ref="M61:O61" si="65">SUM(M62:M63)</f>
        <v>365000</v>
      </c>
      <c r="N61" s="12">
        <f t="shared" si="65"/>
        <v>48443.825071338506</v>
      </c>
      <c r="O61" s="12">
        <f t="shared" si="65"/>
        <v>1022475</v>
      </c>
      <c r="P61" s="12">
        <f t="shared" ref="P61:Q61" si="66">SUM(P62:P63)</f>
        <v>0</v>
      </c>
      <c r="Q61" s="12">
        <f t="shared" si="66"/>
        <v>1022475</v>
      </c>
      <c r="R61" s="756">
        <f t="shared" si="63"/>
        <v>100</v>
      </c>
    </row>
    <row r="62" spans="1:18" ht="21" x14ac:dyDescent="0.25">
      <c r="A62" s="464" t="s">
        <v>531</v>
      </c>
      <c r="B62" s="336"/>
      <c r="C62" s="336"/>
      <c r="D62" s="336"/>
      <c r="E62" s="336"/>
      <c r="F62" s="336"/>
      <c r="G62" s="336"/>
      <c r="H62" s="24">
        <v>6381</v>
      </c>
      <c r="I62" s="15" t="s">
        <v>374</v>
      </c>
      <c r="J62" s="16">
        <v>0</v>
      </c>
      <c r="K62" s="16">
        <v>0</v>
      </c>
      <c r="L62" s="16">
        <v>0</v>
      </c>
      <c r="M62" s="16">
        <v>365000</v>
      </c>
      <c r="N62" s="16">
        <f>M62/7.5345</f>
        <v>48443.825071338506</v>
      </c>
      <c r="O62" s="16">
        <v>187000</v>
      </c>
      <c r="P62" s="16">
        <v>0</v>
      </c>
      <c r="Q62" s="16">
        <f>SUM(O62+P62)</f>
        <v>187000</v>
      </c>
      <c r="R62" s="749">
        <f t="shared" si="63"/>
        <v>100</v>
      </c>
    </row>
    <row r="63" spans="1:18" ht="21" x14ac:dyDescent="0.25">
      <c r="A63" s="464" t="s">
        <v>532</v>
      </c>
      <c r="B63" s="336"/>
      <c r="C63" s="336"/>
      <c r="D63" s="336"/>
      <c r="E63" s="336"/>
      <c r="F63" s="336"/>
      <c r="G63" s="336"/>
      <c r="H63" s="24">
        <v>6382</v>
      </c>
      <c r="I63" s="15" t="s">
        <v>379</v>
      </c>
      <c r="J63" s="16"/>
      <c r="K63" s="16"/>
      <c r="L63" s="16"/>
      <c r="M63" s="16">
        <v>0</v>
      </c>
      <c r="N63" s="16">
        <f>M63/7.5345</f>
        <v>0</v>
      </c>
      <c r="O63" s="16">
        <v>835475</v>
      </c>
      <c r="P63" s="16">
        <v>0</v>
      </c>
      <c r="Q63" s="16">
        <f>SUM(O63+P63)</f>
        <v>835475</v>
      </c>
      <c r="R63" s="749">
        <f t="shared" si="63"/>
        <v>100</v>
      </c>
    </row>
    <row r="64" spans="1:18" s="65" customFormat="1" x14ac:dyDescent="0.25">
      <c r="A64" s="465"/>
      <c r="B64" s="346"/>
      <c r="C64" s="346"/>
      <c r="D64" s="346"/>
      <c r="E64" s="346"/>
      <c r="F64" s="346"/>
      <c r="G64" s="346"/>
      <c r="H64" s="66">
        <v>64</v>
      </c>
      <c r="I64" s="67" t="s">
        <v>25</v>
      </c>
      <c r="J64" s="68" t="e">
        <f>SUM(J65+J68)</f>
        <v>#REF!</v>
      </c>
      <c r="K64" s="68" t="e">
        <f>SUM(K65,K68)</f>
        <v>#REF!</v>
      </c>
      <c r="L64" s="68" t="e">
        <f t="shared" ref="L64:O64" si="67">SUM(L65+L68)</f>
        <v>#REF!</v>
      </c>
      <c r="M64" s="68">
        <f t="shared" si="67"/>
        <v>497500</v>
      </c>
      <c r="N64" s="68">
        <f t="shared" si="67"/>
        <v>66029.597186276456</v>
      </c>
      <c r="O64" s="68">
        <f t="shared" si="67"/>
        <v>68200</v>
      </c>
      <c r="P64" s="68">
        <f t="shared" ref="P64:Q64" si="68">SUM(P65+P68)</f>
        <v>0</v>
      </c>
      <c r="Q64" s="68">
        <f t="shared" si="68"/>
        <v>68200</v>
      </c>
      <c r="R64" s="755">
        <f>Q64/O64*100</f>
        <v>100</v>
      </c>
    </row>
    <row r="65" spans="1:18" s="1" customFormat="1" x14ac:dyDescent="0.25">
      <c r="A65" s="464"/>
      <c r="B65" s="336"/>
      <c r="C65" s="336"/>
      <c r="D65" s="336"/>
      <c r="E65" s="336"/>
      <c r="F65" s="336"/>
      <c r="G65" s="336"/>
      <c r="H65" s="23">
        <v>641</v>
      </c>
      <c r="I65" s="8" t="s">
        <v>26</v>
      </c>
      <c r="J65" s="12">
        <f t="shared" ref="J65:M65" si="69">SUM(J66:J67)</f>
        <v>2317</v>
      </c>
      <c r="K65" s="12">
        <f t="shared" si="69"/>
        <v>6000</v>
      </c>
      <c r="L65" s="12">
        <f t="shared" si="69"/>
        <v>6000</v>
      </c>
      <c r="M65" s="12">
        <f t="shared" si="69"/>
        <v>6000</v>
      </c>
      <c r="N65" s="12">
        <f t="shared" ref="N65:O65" si="70">SUM(N66:N67)</f>
        <v>796.33685048775624</v>
      </c>
      <c r="O65" s="12">
        <f t="shared" si="70"/>
        <v>1000</v>
      </c>
      <c r="P65" s="12">
        <f t="shared" ref="P65" si="71">SUM(P66:P67)</f>
        <v>0</v>
      </c>
      <c r="Q65" s="12">
        <f t="shared" ref="Q65" si="72">SUM(Q66:Q67)</f>
        <v>1000</v>
      </c>
      <c r="R65" s="756">
        <f>Q65/O65*100</f>
        <v>100</v>
      </c>
    </row>
    <row r="66" spans="1:18" x14ac:dyDescent="0.25">
      <c r="A66" s="464" t="s">
        <v>545</v>
      </c>
      <c r="B66" s="336"/>
      <c r="C66" s="336"/>
      <c r="D66" s="336"/>
      <c r="E66" s="336"/>
      <c r="F66" s="336"/>
      <c r="G66" s="336"/>
      <c r="H66" s="24">
        <v>64132</v>
      </c>
      <c r="I66" s="44" t="s">
        <v>151</v>
      </c>
      <c r="J66" s="16">
        <v>2317</v>
      </c>
      <c r="K66" s="16">
        <v>5000</v>
      </c>
      <c r="L66" s="16">
        <v>5000</v>
      </c>
      <c r="M66" s="16">
        <v>1000</v>
      </c>
      <c r="N66" s="16">
        <f>M66/7.5345</f>
        <v>132.72280841462606</v>
      </c>
      <c r="O66" s="16">
        <v>500</v>
      </c>
      <c r="P66" s="16">
        <v>0</v>
      </c>
      <c r="Q66" s="16">
        <f>SUM(O66+P66)</f>
        <v>500</v>
      </c>
      <c r="R66" s="749">
        <f t="shared" ref="R66:R74" si="73">Q66/O66*100</f>
        <v>100</v>
      </c>
    </row>
    <row r="67" spans="1:18" x14ac:dyDescent="0.25">
      <c r="A67" s="464" t="s">
        <v>545</v>
      </c>
      <c r="B67" s="336"/>
      <c r="C67" s="336"/>
      <c r="D67" s="336"/>
      <c r="E67" s="336"/>
      <c r="F67" s="336"/>
      <c r="G67" s="336"/>
      <c r="H67" s="24">
        <v>64143</v>
      </c>
      <c r="I67" s="15" t="s">
        <v>27</v>
      </c>
      <c r="J67" s="16">
        <v>0</v>
      </c>
      <c r="K67" s="16">
        <v>1000</v>
      </c>
      <c r="L67" s="16">
        <v>1000</v>
      </c>
      <c r="M67" s="16">
        <v>5000</v>
      </c>
      <c r="N67" s="16">
        <f>M67/7.5345</f>
        <v>663.61404207313024</v>
      </c>
      <c r="O67" s="16">
        <v>500</v>
      </c>
      <c r="P67" s="16">
        <v>0</v>
      </c>
      <c r="Q67" s="16">
        <f>SUM(O67+P67)</f>
        <v>500</v>
      </c>
      <c r="R67" s="749">
        <f t="shared" si="73"/>
        <v>100</v>
      </c>
    </row>
    <row r="68" spans="1:18" s="1" customFormat="1" x14ac:dyDescent="0.25">
      <c r="A68" s="464"/>
      <c r="B68" s="336"/>
      <c r="C68" s="336"/>
      <c r="D68" s="336"/>
      <c r="E68" s="336"/>
      <c r="F68" s="336" t="s">
        <v>368</v>
      </c>
      <c r="G68" s="336"/>
      <c r="H68" s="23">
        <v>642</v>
      </c>
      <c r="I68" s="8" t="s">
        <v>28</v>
      </c>
      <c r="J68" s="12" t="e">
        <f>SUM(J69,#REF!,J73,#REF!,J74)</f>
        <v>#REF!</v>
      </c>
      <c r="K68" s="12" t="e">
        <f>SUM(K69,#REF!,K73,#REF!,K74)</f>
        <v>#REF!</v>
      </c>
      <c r="L68" s="12" t="e">
        <f>SUM(L69,#REF!,L73,#REF!,L74)</f>
        <v>#REF!</v>
      </c>
      <c r="M68" s="12">
        <f t="shared" ref="M68:O68" si="74">SUM(M69:M74)</f>
        <v>491500</v>
      </c>
      <c r="N68" s="12">
        <f t="shared" si="74"/>
        <v>65233.260335788706</v>
      </c>
      <c r="O68" s="12">
        <f t="shared" si="74"/>
        <v>67200</v>
      </c>
      <c r="P68" s="12">
        <f t="shared" ref="P68:Q68" si="75">SUM(P69:P74)</f>
        <v>0</v>
      </c>
      <c r="Q68" s="12">
        <f t="shared" si="75"/>
        <v>67200</v>
      </c>
      <c r="R68" s="756">
        <f t="shared" si="73"/>
        <v>100</v>
      </c>
    </row>
    <row r="69" spans="1:18" s="28" customFormat="1" x14ac:dyDescent="0.25">
      <c r="A69" s="464" t="s">
        <v>635</v>
      </c>
      <c r="B69" s="349"/>
      <c r="C69" s="349"/>
      <c r="D69" s="349"/>
      <c r="E69" s="349"/>
      <c r="F69" s="349"/>
      <c r="G69" s="349"/>
      <c r="H69" s="26">
        <v>6421</v>
      </c>
      <c r="I69" s="10" t="s">
        <v>29</v>
      </c>
      <c r="J69" s="11">
        <v>68144</v>
      </c>
      <c r="K69" s="11">
        <v>40000</v>
      </c>
      <c r="L69" s="11">
        <v>40000</v>
      </c>
      <c r="M69" s="11">
        <v>35000</v>
      </c>
      <c r="N69" s="11">
        <f t="shared" ref="N69:N74" si="76">M69/7.5345</f>
        <v>4645.298294511912</v>
      </c>
      <c r="O69" s="11">
        <v>5000</v>
      </c>
      <c r="P69" s="11">
        <v>0</v>
      </c>
      <c r="Q69" s="11">
        <f>SUM(O69+P69)</f>
        <v>5000</v>
      </c>
      <c r="R69" s="749">
        <f t="shared" si="73"/>
        <v>100</v>
      </c>
    </row>
    <row r="70" spans="1:18" x14ac:dyDescent="0.25">
      <c r="A70" s="466" t="s">
        <v>537</v>
      </c>
      <c r="B70" s="340"/>
      <c r="C70" s="340"/>
      <c r="D70" s="340"/>
      <c r="E70" s="340"/>
      <c r="F70" s="340"/>
      <c r="G70" s="340"/>
      <c r="H70" s="33">
        <v>64222</v>
      </c>
      <c r="I70" s="34" t="s">
        <v>152</v>
      </c>
      <c r="J70" s="17">
        <v>78532</v>
      </c>
      <c r="K70" s="17">
        <v>200000</v>
      </c>
      <c r="L70" s="17">
        <v>100000</v>
      </c>
      <c r="M70" s="17">
        <v>300000</v>
      </c>
      <c r="N70" s="16">
        <f t="shared" si="76"/>
        <v>39816.842524387816</v>
      </c>
      <c r="O70" s="17">
        <v>45000</v>
      </c>
      <c r="P70" s="17">
        <v>0</v>
      </c>
      <c r="Q70" s="11">
        <f t="shared" ref="Q70:Q74" si="77">SUM(O70+P70)</f>
        <v>45000</v>
      </c>
      <c r="R70" s="749">
        <f t="shared" si="73"/>
        <v>100</v>
      </c>
    </row>
    <row r="71" spans="1:18" x14ac:dyDescent="0.25">
      <c r="A71" s="464" t="s">
        <v>538</v>
      </c>
      <c r="B71" s="336"/>
      <c r="C71" s="336"/>
      <c r="D71" s="336"/>
      <c r="E71" s="336"/>
      <c r="F71" s="336"/>
      <c r="G71" s="336"/>
      <c r="H71" s="24">
        <v>64222</v>
      </c>
      <c r="I71" s="15" t="s">
        <v>488</v>
      </c>
      <c r="J71" s="16">
        <v>83837</v>
      </c>
      <c r="K71" s="16">
        <v>50000</v>
      </c>
      <c r="L71" s="16">
        <v>50000</v>
      </c>
      <c r="M71" s="16">
        <v>30000</v>
      </c>
      <c r="N71" s="16">
        <f t="shared" si="76"/>
        <v>3981.6842524387812</v>
      </c>
      <c r="O71" s="16">
        <v>4000</v>
      </c>
      <c r="P71" s="16">
        <v>0</v>
      </c>
      <c r="Q71" s="11">
        <f t="shared" si="77"/>
        <v>4000</v>
      </c>
      <c r="R71" s="749">
        <f t="shared" si="73"/>
        <v>100</v>
      </c>
    </row>
    <row r="72" spans="1:18" x14ac:dyDescent="0.25">
      <c r="A72" s="464" t="s">
        <v>539</v>
      </c>
      <c r="B72" s="336"/>
      <c r="C72" s="336"/>
      <c r="D72" s="336"/>
      <c r="E72" s="336"/>
      <c r="F72" s="336"/>
      <c r="G72" s="336"/>
      <c r="H72" s="24">
        <v>64225</v>
      </c>
      <c r="I72" s="15" t="s">
        <v>129</v>
      </c>
      <c r="J72" s="16">
        <v>13319</v>
      </c>
      <c r="K72" s="16">
        <v>20000</v>
      </c>
      <c r="L72" s="16">
        <v>20000</v>
      </c>
      <c r="M72" s="16">
        <v>50000</v>
      </c>
      <c r="N72" s="16">
        <f t="shared" si="76"/>
        <v>6636.1404207313026</v>
      </c>
      <c r="O72" s="16">
        <v>8000</v>
      </c>
      <c r="P72" s="16">
        <v>0</v>
      </c>
      <c r="Q72" s="11">
        <f t="shared" si="77"/>
        <v>8000</v>
      </c>
      <c r="R72" s="749">
        <f t="shared" si="73"/>
        <v>100</v>
      </c>
    </row>
    <row r="73" spans="1:18" x14ac:dyDescent="0.25">
      <c r="A73" s="464" t="s">
        <v>548</v>
      </c>
      <c r="B73" s="336"/>
      <c r="C73" s="336"/>
      <c r="D73" s="336"/>
      <c r="E73" s="336"/>
      <c r="F73" s="336"/>
      <c r="G73" s="336"/>
      <c r="H73" s="26">
        <v>6423</v>
      </c>
      <c r="I73" s="10" t="s">
        <v>546</v>
      </c>
      <c r="J73" s="11" t="e">
        <f>SUM(#REF!)</f>
        <v>#REF!</v>
      </c>
      <c r="K73" s="11" t="e">
        <f>SUM(#REF!)</f>
        <v>#REF!</v>
      </c>
      <c r="L73" s="11" t="e">
        <f>SUM(#REF!)</f>
        <v>#REF!</v>
      </c>
      <c r="M73" s="11">
        <v>75000</v>
      </c>
      <c r="N73" s="11">
        <f t="shared" si="76"/>
        <v>9954.2106310969539</v>
      </c>
      <c r="O73" s="11">
        <v>5000</v>
      </c>
      <c r="P73" s="11">
        <v>0</v>
      </c>
      <c r="Q73" s="11">
        <f t="shared" si="77"/>
        <v>5000</v>
      </c>
      <c r="R73" s="749">
        <f t="shared" si="73"/>
        <v>100</v>
      </c>
    </row>
    <row r="74" spans="1:18" s="28" customFormat="1" x14ac:dyDescent="0.25">
      <c r="A74" s="464" t="s">
        <v>547</v>
      </c>
      <c r="B74" s="336"/>
      <c r="C74" s="336"/>
      <c r="D74" s="336"/>
      <c r="E74" s="336"/>
      <c r="F74" s="336"/>
      <c r="G74" s="336"/>
      <c r="H74" s="26">
        <v>6429</v>
      </c>
      <c r="I74" s="10" t="s">
        <v>30</v>
      </c>
      <c r="J74" s="11" t="e">
        <f>SUM(#REF!)</f>
        <v>#REF!</v>
      </c>
      <c r="K74" s="11" t="e">
        <f>SUM(#REF!)</f>
        <v>#REF!</v>
      </c>
      <c r="L74" s="11" t="e">
        <f>SUM(#REF!)</f>
        <v>#REF!</v>
      </c>
      <c r="M74" s="11">
        <v>1500</v>
      </c>
      <c r="N74" s="11">
        <f t="shared" si="76"/>
        <v>199.08421262193906</v>
      </c>
      <c r="O74" s="11">
        <v>200</v>
      </c>
      <c r="P74" s="11">
        <v>0</v>
      </c>
      <c r="Q74" s="11">
        <f t="shared" si="77"/>
        <v>200</v>
      </c>
      <c r="R74" s="749">
        <f t="shared" si="73"/>
        <v>100</v>
      </c>
    </row>
    <row r="75" spans="1:18" s="601" customFormat="1" ht="20.399999999999999" x14ac:dyDescent="0.2">
      <c r="A75" s="465"/>
      <c r="B75" s="597"/>
      <c r="C75" s="597"/>
      <c r="D75" s="597"/>
      <c r="E75" s="597"/>
      <c r="F75" s="597"/>
      <c r="G75" s="597"/>
      <c r="H75" s="598">
        <v>65</v>
      </c>
      <c r="I75" s="599" t="s">
        <v>153</v>
      </c>
      <c r="J75" s="600" t="e">
        <f t="shared" ref="J75:M75" si="78">SUM(J76+J80+J84)</f>
        <v>#REF!</v>
      </c>
      <c r="K75" s="600" t="e">
        <f t="shared" si="78"/>
        <v>#REF!</v>
      </c>
      <c r="L75" s="600" t="e">
        <f t="shared" si="78"/>
        <v>#REF!</v>
      </c>
      <c r="M75" s="600">
        <f t="shared" si="78"/>
        <v>1513500</v>
      </c>
      <c r="N75" s="600">
        <f t="shared" ref="N75:O75" si="79">SUM(N76+N80+N84)</f>
        <v>200875.97053553653</v>
      </c>
      <c r="O75" s="600">
        <f t="shared" si="79"/>
        <v>197500</v>
      </c>
      <c r="P75" s="600">
        <f t="shared" ref="P75" si="80">SUM(P76+P80+P84)</f>
        <v>165000</v>
      </c>
      <c r="Q75" s="600">
        <f t="shared" ref="Q75" si="81">SUM(Q76+Q80+Q84)</f>
        <v>362500</v>
      </c>
      <c r="R75" s="755">
        <f>Q75/O75*100</f>
        <v>183.54430379746836</v>
      </c>
    </row>
    <row r="76" spans="1:18" s="1" customFormat="1" x14ac:dyDescent="0.25">
      <c r="A76" s="464"/>
      <c r="B76" s="336"/>
      <c r="C76" s="336"/>
      <c r="D76" s="336"/>
      <c r="E76" s="336"/>
      <c r="F76" s="336"/>
      <c r="G76" s="336"/>
      <c r="H76" s="23">
        <v>651</v>
      </c>
      <c r="I76" s="8" t="s">
        <v>132</v>
      </c>
      <c r="J76" s="12" t="e">
        <f>SUM(J77+J78)</f>
        <v>#REF!</v>
      </c>
      <c r="K76" s="12" t="e">
        <f>SUM(K77+K78+K79)</f>
        <v>#REF!</v>
      </c>
      <c r="L76" s="12" t="e">
        <f>SUM(L77+L78+L79)</f>
        <v>#REF!</v>
      </c>
      <c r="M76" s="12">
        <f t="shared" ref="M76:O76" si="82">M77+M78+M79</f>
        <v>90000</v>
      </c>
      <c r="N76" s="12">
        <f t="shared" si="82"/>
        <v>11945.052757316345</v>
      </c>
      <c r="O76" s="12">
        <f t="shared" si="82"/>
        <v>12000</v>
      </c>
      <c r="P76" s="12">
        <f t="shared" ref="P76:Q76" si="83">P77+P78+P79</f>
        <v>0</v>
      </c>
      <c r="Q76" s="12">
        <f t="shared" si="83"/>
        <v>12000</v>
      </c>
      <c r="R76" s="756">
        <f>Q76/O76*100</f>
        <v>100</v>
      </c>
    </row>
    <row r="77" spans="1:18" s="40" customFormat="1" x14ac:dyDescent="0.25">
      <c r="A77" s="464" t="s">
        <v>540</v>
      </c>
      <c r="B77" s="336"/>
      <c r="C77" s="336"/>
      <c r="D77" s="336"/>
      <c r="E77" s="336"/>
      <c r="F77" s="336"/>
      <c r="G77" s="336"/>
      <c r="H77" s="26">
        <v>6512</v>
      </c>
      <c r="I77" s="10" t="s">
        <v>154</v>
      </c>
      <c r="J77" s="11" t="e">
        <f>SUM(#REF!)</f>
        <v>#REF!</v>
      </c>
      <c r="K77" s="11" t="e">
        <f>SUM(#REF!)</f>
        <v>#REF!</v>
      </c>
      <c r="L77" s="11" t="e">
        <f>SUM(#REF!)</f>
        <v>#REF!</v>
      </c>
      <c r="M77" s="11">
        <v>75000</v>
      </c>
      <c r="N77" s="16">
        <f>M77/7.5345</f>
        <v>9954.2106310969539</v>
      </c>
      <c r="O77" s="16">
        <v>10000</v>
      </c>
      <c r="P77" s="16">
        <v>0</v>
      </c>
      <c r="Q77" s="16">
        <f>SUM(O77+P77)</f>
        <v>10000</v>
      </c>
      <c r="R77" s="749">
        <f t="shared" ref="R77:R87" si="84">Q77/O77*100</f>
        <v>100</v>
      </c>
    </row>
    <row r="78" spans="1:18" s="40" customFormat="1" x14ac:dyDescent="0.25">
      <c r="A78" s="464" t="s">
        <v>545</v>
      </c>
      <c r="B78" s="336"/>
      <c r="C78" s="336"/>
      <c r="D78" s="336"/>
      <c r="E78" s="336"/>
      <c r="F78" s="336"/>
      <c r="G78" s="336"/>
      <c r="H78" s="26">
        <v>6513</v>
      </c>
      <c r="I78" s="10" t="s">
        <v>31</v>
      </c>
      <c r="J78" s="11" t="e">
        <f>SUM(#REF!,J79)</f>
        <v>#REF!</v>
      </c>
      <c r="K78" s="11" t="e">
        <f>SUM(#REF!)</f>
        <v>#REF!</v>
      </c>
      <c r="L78" s="11" t="e">
        <f>SUM(#REF!)</f>
        <v>#REF!</v>
      </c>
      <c r="M78" s="11">
        <v>0</v>
      </c>
      <c r="N78" s="16">
        <f>M78/7.5345</f>
        <v>0</v>
      </c>
      <c r="O78" s="16">
        <v>0</v>
      </c>
      <c r="P78" s="16">
        <v>0</v>
      </c>
      <c r="Q78" s="16">
        <f t="shared" ref="Q78:Q79" si="85">SUM(O78+P78)</f>
        <v>0</v>
      </c>
      <c r="R78" s="749" t="e">
        <f t="shared" si="84"/>
        <v>#DIV/0!</v>
      </c>
    </row>
    <row r="79" spans="1:18" s="40" customFormat="1" x14ac:dyDescent="0.25">
      <c r="A79" s="464" t="s">
        <v>547</v>
      </c>
      <c r="B79" s="336"/>
      <c r="C79" s="336"/>
      <c r="D79" s="336"/>
      <c r="E79" s="336"/>
      <c r="F79" s="336"/>
      <c r="G79" s="336"/>
      <c r="H79" s="26">
        <v>6514</v>
      </c>
      <c r="I79" s="10" t="s">
        <v>380</v>
      </c>
      <c r="J79" s="11">
        <v>0</v>
      </c>
      <c r="K79" s="11">
        <v>1000</v>
      </c>
      <c r="L79" s="11">
        <v>1000</v>
      </c>
      <c r="M79" s="11">
        <v>15000</v>
      </c>
      <c r="N79" s="16">
        <f>M79/7.5345</f>
        <v>1990.8421262193906</v>
      </c>
      <c r="O79" s="16">
        <v>2000</v>
      </c>
      <c r="P79" s="16">
        <v>0</v>
      </c>
      <c r="Q79" s="16">
        <f t="shared" si="85"/>
        <v>2000</v>
      </c>
      <c r="R79" s="749">
        <f t="shared" si="84"/>
        <v>100</v>
      </c>
    </row>
    <row r="80" spans="1:18" s="1" customFormat="1" x14ac:dyDescent="0.25">
      <c r="A80" s="464"/>
      <c r="B80" s="336"/>
      <c r="C80" s="336" t="s">
        <v>365</v>
      </c>
      <c r="D80" s="336"/>
      <c r="E80" s="336"/>
      <c r="F80" s="336"/>
      <c r="G80" s="336"/>
      <c r="H80" s="23">
        <v>652</v>
      </c>
      <c r="I80" s="8" t="s">
        <v>32</v>
      </c>
      <c r="J80" s="12" t="e">
        <f t="shared" ref="J80:O80" si="86">SUM(J81+J82+J83)</f>
        <v>#REF!</v>
      </c>
      <c r="K80" s="12" t="e">
        <f t="shared" si="86"/>
        <v>#REF!</v>
      </c>
      <c r="L80" s="12" t="e">
        <f t="shared" si="86"/>
        <v>#REF!</v>
      </c>
      <c r="M80" s="12">
        <f t="shared" si="86"/>
        <v>22500</v>
      </c>
      <c r="N80" s="12">
        <f t="shared" si="86"/>
        <v>2986.2631893290859</v>
      </c>
      <c r="O80" s="12">
        <f t="shared" si="86"/>
        <v>15500</v>
      </c>
      <c r="P80" s="12">
        <f t="shared" ref="P80:Q80" si="87">SUM(P81+P82+P83)</f>
        <v>115000</v>
      </c>
      <c r="Q80" s="12">
        <f t="shared" si="87"/>
        <v>130500</v>
      </c>
      <c r="R80" s="756">
        <f t="shared" si="84"/>
        <v>841.9354838709678</v>
      </c>
    </row>
    <row r="81" spans="1:18" s="40" customFormat="1" x14ac:dyDescent="0.25">
      <c r="A81" s="464" t="s">
        <v>545</v>
      </c>
      <c r="B81" s="336"/>
      <c r="C81" s="336"/>
      <c r="D81" s="336"/>
      <c r="E81" s="336"/>
      <c r="F81" s="336"/>
      <c r="G81" s="336"/>
      <c r="H81" s="26">
        <v>6522</v>
      </c>
      <c r="I81" s="10" t="s">
        <v>143</v>
      </c>
      <c r="J81" s="11" t="e">
        <f>SUM(#REF!)</f>
        <v>#REF!</v>
      </c>
      <c r="K81" s="11" t="e">
        <f>SUM(#REF!)</f>
        <v>#REF!</v>
      </c>
      <c r="L81" s="11" t="e">
        <f>SUM(#REF!)</f>
        <v>#REF!</v>
      </c>
      <c r="M81" s="11">
        <v>7500</v>
      </c>
      <c r="N81" s="16">
        <f>M81/7.5345</f>
        <v>995.4210631096953</v>
      </c>
      <c r="O81" s="16">
        <v>500</v>
      </c>
      <c r="P81" s="16">
        <v>0</v>
      </c>
      <c r="Q81" s="16">
        <f>SUM(O81+P81)</f>
        <v>500</v>
      </c>
      <c r="R81" s="749">
        <f t="shared" si="84"/>
        <v>100</v>
      </c>
    </row>
    <row r="82" spans="1:18" s="40" customFormat="1" x14ac:dyDescent="0.25">
      <c r="A82" s="464" t="s">
        <v>547</v>
      </c>
      <c r="B82" s="336"/>
      <c r="C82" s="336"/>
      <c r="D82" s="336"/>
      <c r="E82" s="336"/>
      <c r="F82" s="336"/>
      <c r="G82" s="336"/>
      <c r="H82" s="26">
        <v>6524</v>
      </c>
      <c r="I82" s="10" t="s">
        <v>35</v>
      </c>
      <c r="J82" s="11" t="e">
        <f>SUM(#REF!)</f>
        <v>#REF!</v>
      </c>
      <c r="K82" s="11" t="e">
        <f>SUM(#REF!)</f>
        <v>#REF!</v>
      </c>
      <c r="L82" s="11" t="e">
        <f>SUM(#REF!)</f>
        <v>#REF!</v>
      </c>
      <c r="M82" s="11">
        <v>15000</v>
      </c>
      <c r="N82" s="16">
        <f>M82/7.5345</f>
        <v>1990.8421262193906</v>
      </c>
      <c r="O82" s="16">
        <v>15000</v>
      </c>
      <c r="P82" s="16">
        <v>115000</v>
      </c>
      <c r="Q82" s="16">
        <f t="shared" ref="Q82:Q83" si="88">SUM(O82+P82)</f>
        <v>130000</v>
      </c>
      <c r="R82" s="749">
        <f t="shared" si="84"/>
        <v>866.66666666666663</v>
      </c>
    </row>
    <row r="83" spans="1:18" s="40" customFormat="1" x14ac:dyDescent="0.25">
      <c r="A83" s="464"/>
      <c r="B83" s="336"/>
      <c r="C83" s="336"/>
      <c r="D83" s="336"/>
      <c r="E83" s="336"/>
      <c r="F83" s="336"/>
      <c r="G83" s="336"/>
      <c r="H83" s="26">
        <v>6526</v>
      </c>
      <c r="I83" s="10" t="s">
        <v>36</v>
      </c>
      <c r="J83" s="11" t="e">
        <f>SUM(#REF!)</f>
        <v>#REF!</v>
      </c>
      <c r="K83" s="11" t="e">
        <f>SUM(#REF!)</f>
        <v>#REF!</v>
      </c>
      <c r="L83" s="11" t="e">
        <f>SUM(#REF!)</f>
        <v>#REF!</v>
      </c>
      <c r="M83" s="11">
        <v>0</v>
      </c>
      <c r="N83" s="16">
        <f>M83/7.5345</f>
        <v>0</v>
      </c>
      <c r="O83" s="16">
        <v>0</v>
      </c>
      <c r="P83" s="16">
        <v>0</v>
      </c>
      <c r="Q83" s="16">
        <f t="shared" si="88"/>
        <v>0</v>
      </c>
      <c r="R83" s="749" t="e">
        <f t="shared" si="84"/>
        <v>#DIV/0!</v>
      </c>
    </row>
    <row r="84" spans="1:18" s="28" customFormat="1" x14ac:dyDescent="0.25">
      <c r="A84" s="464"/>
      <c r="B84" s="336"/>
      <c r="C84" s="336"/>
      <c r="D84" s="336"/>
      <c r="E84" s="336"/>
      <c r="F84" s="336"/>
      <c r="G84" s="336"/>
      <c r="H84" s="27">
        <v>653</v>
      </c>
      <c r="I84" s="9" t="s">
        <v>130</v>
      </c>
      <c r="J84" s="29">
        <f t="shared" ref="J84:M84" si="89">SUM(J85:J87)</f>
        <v>93473</v>
      </c>
      <c r="K84" s="29">
        <f t="shared" si="89"/>
        <v>450000</v>
      </c>
      <c r="L84" s="29">
        <f t="shared" si="89"/>
        <v>170000</v>
      </c>
      <c r="M84" s="29">
        <f t="shared" si="89"/>
        <v>1401000</v>
      </c>
      <c r="N84" s="29">
        <f t="shared" ref="N84:O84" si="90">SUM(N85:N87)</f>
        <v>185944.65458889111</v>
      </c>
      <c r="O84" s="12">
        <f t="shared" si="90"/>
        <v>170000</v>
      </c>
      <c r="P84" s="12">
        <f t="shared" ref="P84" si="91">SUM(P85:P87)</f>
        <v>50000</v>
      </c>
      <c r="Q84" s="12">
        <f t="shared" ref="Q84" si="92">SUM(Q85:Q87)</f>
        <v>220000</v>
      </c>
      <c r="R84" s="756">
        <f t="shared" si="84"/>
        <v>129.41176470588235</v>
      </c>
    </row>
    <row r="85" spans="1:18" x14ac:dyDescent="0.25">
      <c r="A85" s="464" t="s">
        <v>541</v>
      </c>
      <c r="B85" s="336"/>
      <c r="C85" s="336"/>
      <c r="D85" s="336"/>
      <c r="E85" s="336"/>
      <c r="F85" s="336"/>
      <c r="G85" s="336"/>
      <c r="H85" s="26">
        <v>6531</v>
      </c>
      <c r="I85" s="10" t="s">
        <v>33</v>
      </c>
      <c r="J85" s="16">
        <v>70696</v>
      </c>
      <c r="K85" s="16">
        <v>300000</v>
      </c>
      <c r="L85" s="16">
        <v>150000</v>
      </c>
      <c r="M85" s="16">
        <v>600000</v>
      </c>
      <c r="N85" s="16">
        <f>M85/7.5345</f>
        <v>79633.685048775631</v>
      </c>
      <c r="O85" s="16">
        <v>60000</v>
      </c>
      <c r="P85" s="16">
        <v>50000</v>
      </c>
      <c r="Q85" s="16">
        <f>SUM(O85+P85)</f>
        <v>110000</v>
      </c>
      <c r="R85" s="749">
        <f t="shared" si="84"/>
        <v>183.33333333333331</v>
      </c>
    </row>
    <row r="86" spans="1:18" x14ac:dyDescent="0.25">
      <c r="A86" s="464" t="s">
        <v>542</v>
      </c>
      <c r="B86" s="336"/>
      <c r="C86" s="336"/>
      <c r="D86" s="336"/>
      <c r="E86" s="336"/>
      <c r="F86" s="336"/>
      <c r="G86" s="336"/>
      <c r="H86" s="26">
        <v>6532</v>
      </c>
      <c r="I86" s="10" t="s">
        <v>34</v>
      </c>
      <c r="J86" s="16">
        <v>0</v>
      </c>
      <c r="K86" s="16">
        <v>100000</v>
      </c>
      <c r="L86" s="16">
        <v>0</v>
      </c>
      <c r="M86" s="16">
        <v>800000</v>
      </c>
      <c r="N86" s="16">
        <f>M86/7.5345</f>
        <v>106178.24673170084</v>
      </c>
      <c r="O86" s="16">
        <v>110000</v>
      </c>
      <c r="P86" s="16">
        <v>0</v>
      </c>
      <c r="Q86" s="16">
        <f t="shared" ref="Q86:Q87" si="93">SUM(O86+P86)</f>
        <v>110000</v>
      </c>
      <c r="R86" s="749">
        <f t="shared" si="84"/>
        <v>100</v>
      </c>
    </row>
    <row r="87" spans="1:18" x14ac:dyDescent="0.25">
      <c r="A87" s="464" t="s">
        <v>547</v>
      </c>
      <c r="B87" s="336"/>
      <c r="C87" s="336"/>
      <c r="D87" s="336"/>
      <c r="E87" s="336"/>
      <c r="F87" s="336"/>
      <c r="G87" s="336"/>
      <c r="H87" s="26">
        <v>6533</v>
      </c>
      <c r="I87" s="10" t="s">
        <v>133</v>
      </c>
      <c r="J87" s="16">
        <v>22777</v>
      </c>
      <c r="K87" s="16">
        <v>50000</v>
      </c>
      <c r="L87" s="16">
        <v>20000</v>
      </c>
      <c r="M87" s="16">
        <v>1000</v>
      </c>
      <c r="N87" s="16">
        <f>M87/7.5345</f>
        <v>132.72280841462606</v>
      </c>
      <c r="O87" s="16">
        <v>0</v>
      </c>
      <c r="P87" s="16">
        <v>0</v>
      </c>
      <c r="Q87" s="16">
        <f t="shared" si="93"/>
        <v>0</v>
      </c>
      <c r="R87" s="749" t="e">
        <f t="shared" si="84"/>
        <v>#DIV/0!</v>
      </c>
    </row>
    <row r="88" spans="1:18" s="74" customFormat="1" x14ac:dyDescent="0.25">
      <c r="A88" s="465"/>
      <c r="B88" s="346"/>
      <c r="C88" s="346"/>
      <c r="D88" s="346"/>
      <c r="E88" s="346"/>
      <c r="F88" s="346"/>
      <c r="G88" s="346"/>
      <c r="H88" s="76">
        <v>66</v>
      </c>
      <c r="I88" s="77" t="s">
        <v>479</v>
      </c>
      <c r="J88" s="78">
        <f>SUM(J89)</f>
        <v>4212</v>
      </c>
      <c r="K88" s="78"/>
      <c r="L88" s="78"/>
      <c r="M88" s="68">
        <f t="shared" ref="M88:Q88" si="94">SUM(M89)</f>
        <v>75000</v>
      </c>
      <c r="N88" s="68">
        <f t="shared" si="94"/>
        <v>9954.2106310969539</v>
      </c>
      <c r="O88" s="68">
        <f t="shared" si="94"/>
        <v>10000</v>
      </c>
      <c r="P88" s="68">
        <f t="shared" si="94"/>
        <v>0</v>
      </c>
      <c r="Q88" s="68">
        <f t="shared" si="94"/>
        <v>10000</v>
      </c>
      <c r="R88" s="755">
        <f t="shared" ref="R88:R100" si="95">Q88/O88*100</f>
        <v>100</v>
      </c>
    </row>
    <row r="89" spans="1:18" x14ac:dyDescent="0.25">
      <c r="A89" s="464"/>
      <c r="B89" s="336"/>
      <c r="C89" s="336"/>
      <c r="D89" s="336"/>
      <c r="E89" s="336"/>
      <c r="F89" s="336"/>
      <c r="G89" s="336"/>
      <c r="H89" s="27">
        <v>661</v>
      </c>
      <c r="I89" s="9" t="s">
        <v>479</v>
      </c>
      <c r="J89" s="29">
        <v>4212</v>
      </c>
      <c r="K89" s="29">
        <v>0</v>
      </c>
      <c r="L89" s="29">
        <v>0</v>
      </c>
      <c r="M89" s="29">
        <f t="shared" ref="M89:Q89" si="96">M90</f>
        <v>75000</v>
      </c>
      <c r="N89" s="29">
        <f t="shared" si="96"/>
        <v>9954.2106310969539</v>
      </c>
      <c r="O89" s="12">
        <f t="shared" si="96"/>
        <v>10000</v>
      </c>
      <c r="P89" s="12">
        <f t="shared" si="96"/>
        <v>0</v>
      </c>
      <c r="Q89" s="12">
        <f t="shared" si="96"/>
        <v>10000</v>
      </c>
      <c r="R89" s="756">
        <f t="shared" si="95"/>
        <v>100</v>
      </c>
    </row>
    <row r="90" spans="1:18" x14ac:dyDescent="0.25">
      <c r="A90" s="467" t="s">
        <v>543</v>
      </c>
      <c r="B90" s="350"/>
      <c r="C90" s="350"/>
      <c r="D90" s="350"/>
      <c r="E90" s="350"/>
      <c r="F90" s="350"/>
      <c r="G90" s="350"/>
      <c r="H90" s="351">
        <v>6615</v>
      </c>
      <c r="I90" s="352" t="s">
        <v>480</v>
      </c>
      <c r="J90" s="353"/>
      <c r="K90" s="353"/>
      <c r="L90" s="353"/>
      <c r="M90" s="353">
        <v>75000</v>
      </c>
      <c r="N90" s="16">
        <f>M90/7.5345</f>
        <v>9954.2106310969539</v>
      </c>
      <c r="O90" s="353">
        <v>10000</v>
      </c>
      <c r="P90" s="353">
        <v>0</v>
      </c>
      <c r="Q90" s="353">
        <f>SUM(O90+P90)</f>
        <v>10000</v>
      </c>
      <c r="R90" s="749">
        <f t="shared" si="95"/>
        <v>100</v>
      </c>
    </row>
    <row r="91" spans="1:18" s="74" customFormat="1" x14ac:dyDescent="0.25">
      <c r="A91" s="465"/>
      <c r="B91" s="346"/>
      <c r="C91" s="346"/>
      <c r="D91" s="346"/>
      <c r="E91" s="346"/>
      <c r="F91" s="346"/>
      <c r="G91" s="346"/>
      <c r="H91" s="76">
        <v>68</v>
      </c>
      <c r="I91" s="77" t="s">
        <v>381</v>
      </c>
      <c r="J91" s="78">
        <f>SUM(J92)</f>
        <v>4212</v>
      </c>
      <c r="K91" s="78"/>
      <c r="L91" s="78"/>
      <c r="M91" s="68">
        <f t="shared" ref="M91:Q91" si="97">SUM(M92)</f>
        <v>7500</v>
      </c>
      <c r="N91" s="68">
        <f t="shared" si="97"/>
        <v>995.4210631096953</v>
      </c>
      <c r="O91" s="68">
        <f t="shared" si="97"/>
        <v>1000</v>
      </c>
      <c r="P91" s="68">
        <f t="shared" si="97"/>
        <v>0</v>
      </c>
      <c r="Q91" s="68">
        <f t="shared" si="97"/>
        <v>1000</v>
      </c>
      <c r="R91" s="755">
        <f t="shared" si="95"/>
        <v>100</v>
      </c>
    </row>
    <row r="92" spans="1:18" x14ac:dyDescent="0.25">
      <c r="A92" s="464"/>
      <c r="B92" s="336"/>
      <c r="C92" s="336"/>
      <c r="D92" s="336"/>
      <c r="E92" s="336"/>
      <c r="F92" s="336"/>
      <c r="G92" s="336"/>
      <c r="H92" s="27">
        <v>681</v>
      </c>
      <c r="I92" s="9" t="s">
        <v>382</v>
      </c>
      <c r="J92" s="29">
        <v>4212</v>
      </c>
      <c r="K92" s="29">
        <v>0</v>
      </c>
      <c r="L92" s="29">
        <v>0</v>
      </c>
      <c r="M92" s="29">
        <f t="shared" ref="M92:Q92" si="98">M93</f>
        <v>7500</v>
      </c>
      <c r="N92" s="29">
        <f t="shared" si="98"/>
        <v>995.4210631096953</v>
      </c>
      <c r="O92" s="12">
        <f t="shared" si="98"/>
        <v>1000</v>
      </c>
      <c r="P92" s="12">
        <f t="shared" si="98"/>
        <v>0</v>
      </c>
      <c r="Q92" s="12">
        <f t="shared" si="98"/>
        <v>1000</v>
      </c>
      <c r="R92" s="756">
        <f t="shared" si="95"/>
        <v>100</v>
      </c>
    </row>
    <row r="93" spans="1:18" x14ac:dyDescent="0.25">
      <c r="A93" s="467" t="s">
        <v>545</v>
      </c>
      <c r="B93" s="350"/>
      <c r="C93" s="350"/>
      <c r="D93" s="350"/>
      <c r="E93" s="350"/>
      <c r="F93" s="350"/>
      <c r="G93" s="350"/>
      <c r="H93" s="351">
        <v>6819</v>
      </c>
      <c r="I93" s="352" t="s">
        <v>383</v>
      </c>
      <c r="J93" s="353"/>
      <c r="K93" s="353"/>
      <c r="L93" s="353"/>
      <c r="M93" s="353">
        <v>7500</v>
      </c>
      <c r="N93" s="16">
        <f>M93/7.5345</f>
        <v>995.4210631096953</v>
      </c>
      <c r="O93" s="353">
        <v>1000</v>
      </c>
      <c r="P93" s="353">
        <v>0</v>
      </c>
      <c r="Q93" s="353">
        <f>SUM(O93+P93)</f>
        <v>1000</v>
      </c>
      <c r="R93" s="749">
        <f t="shared" si="95"/>
        <v>100</v>
      </c>
    </row>
    <row r="94" spans="1:18" s="52" customFormat="1" ht="13.8" thickBot="1" x14ac:dyDescent="0.3">
      <c r="A94" s="468"/>
      <c r="B94" s="347"/>
      <c r="C94" s="347"/>
      <c r="D94" s="347"/>
      <c r="E94" s="347"/>
      <c r="F94" s="347"/>
      <c r="G94" s="347"/>
      <c r="H94" s="49">
        <v>7</v>
      </c>
      <c r="I94" s="50" t="s">
        <v>2</v>
      </c>
      <c r="J94" s="51" t="e">
        <f t="shared" ref="J94:Q94" si="99">SUM(J95)</f>
        <v>#REF!</v>
      </c>
      <c r="K94" s="51" t="e">
        <f t="shared" si="99"/>
        <v>#REF!</v>
      </c>
      <c r="L94" s="51" t="e">
        <f t="shared" si="99"/>
        <v>#REF!</v>
      </c>
      <c r="M94" s="51">
        <f t="shared" si="99"/>
        <v>100000</v>
      </c>
      <c r="N94" s="51">
        <f t="shared" si="99"/>
        <v>13272.280841462605</v>
      </c>
      <c r="O94" s="51">
        <f t="shared" si="99"/>
        <v>0</v>
      </c>
      <c r="P94" s="51">
        <f t="shared" si="99"/>
        <v>14000</v>
      </c>
      <c r="Q94" s="51">
        <f t="shared" si="99"/>
        <v>14000</v>
      </c>
      <c r="R94" s="757" t="e">
        <f t="shared" si="95"/>
        <v>#DIV/0!</v>
      </c>
    </row>
    <row r="95" spans="1:18" s="65" customFormat="1" x14ac:dyDescent="0.25">
      <c r="A95" s="463"/>
      <c r="B95" s="345"/>
      <c r="C95" s="345"/>
      <c r="D95" s="345"/>
      <c r="E95" s="345"/>
      <c r="F95" s="345"/>
      <c r="G95" s="345"/>
      <c r="H95" s="62">
        <v>71</v>
      </c>
      <c r="I95" s="69" t="s">
        <v>39</v>
      </c>
      <c r="J95" s="64" t="e">
        <f>SUM(J96+#REF!)</f>
        <v>#REF!</v>
      </c>
      <c r="K95" s="64" t="e">
        <f>SUM(K96+#REF!)</f>
        <v>#REF!</v>
      </c>
      <c r="L95" s="64" t="e">
        <f>SUM(L96+#REF!)</f>
        <v>#REF!</v>
      </c>
      <c r="M95" s="64">
        <f t="shared" ref="M95:Q96" si="100">M96</f>
        <v>100000</v>
      </c>
      <c r="N95" s="64">
        <f t="shared" si="100"/>
        <v>13272.280841462605</v>
      </c>
      <c r="O95" s="64">
        <f t="shared" si="100"/>
        <v>0</v>
      </c>
      <c r="P95" s="64">
        <f t="shared" si="100"/>
        <v>14000</v>
      </c>
      <c r="Q95" s="64">
        <f t="shared" si="100"/>
        <v>14000</v>
      </c>
      <c r="R95" s="755" t="e">
        <f t="shared" si="95"/>
        <v>#DIV/0!</v>
      </c>
    </row>
    <row r="96" spans="1:18" s="1" customFormat="1" x14ac:dyDescent="0.25">
      <c r="A96" s="464" t="s">
        <v>544</v>
      </c>
      <c r="B96" s="336"/>
      <c r="C96" s="336" t="s">
        <v>365</v>
      </c>
      <c r="D96" s="336"/>
      <c r="E96" s="336"/>
      <c r="F96" s="336"/>
      <c r="G96" s="336"/>
      <c r="H96" s="23">
        <v>711</v>
      </c>
      <c r="I96" s="8" t="s">
        <v>384</v>
      </c>
      <c r="J96" s="12" t="e">
        <f>SUM(#REF!)</f>
        <v>#REF!</v>
      </c>
      <c r="K96" s="12" t="e">
        <f>SUM(#REF!)</f>
        <v>#REF!</v>
      </c>
      <c r="L96" s="12" t="e">
        <f>SUM(#REF!)</f>
        <v>#REF!</v>
      </c>
      <c r="M96" s="12">
        <v>100000</v>
      </c>
      <c r="N96" s="16">
        <f>M96/7.5345</f>
        <v>13272.280841462605</v>
      </c>
      <c r="O96" s="12">
        <f>O97</f>
        <v>0</v>
      </c>
      <c r="P96" s="12">
        <f t="shared" si="100"/>
        <v>14000</v>
      </c>
      <c r="Q96" s="12">
        <f t="shared" si="100"/>
        <v>14000</v>
      </c>
      <c r="R96" s="748" t="e">
        <f t="shared" si="95"/>
        <v>#DIV/0!</v>
      </c>
    </row>
    <row r="97" spans="1:18" s="1" customFormat="1" x14ac:dyDescent="0.25">
      <c r="A97" s="467"/>
      <c r="B97" s="350"/>
      <c r="C97" s="350"/>
      <c r="D97" s="350"/>
      <c r="E97" s="350"/>
      <c r="F97" s="350"/>
      <c r="G97" s="350"/>
      <c r="H97" s="772">
        <v>7111</v>
      </c>
      <c r="I97" s="773" t="s">
        <v>40</v>
      </c>
      <c r="J97" s="774"/>
      <c r="K97" s="774"/>
      <c r="L97" s="774"/>
      <c r="M97" s="774"/>
      <c r="N97" s="353"/>
      <c r="O97" s="774">
        <v>0</v>
      </c>
      <c r="P97" s="774">
        <v>14000</v>
      </c>
      <c r="Q97" s="774">
        <f>SUM(O97+P97)</f>
        <v>14000</v>
      </c>
      <c r="R97" s="775"/>
    </row>
    <row r="98" spans="1:18" s="52" customFormat="1" ht="13.8" thickBot="1" x14ac:dyDescent="0.3">
      <c r="A98" s="468"/>
      <c r="B98" s="347"/>
      <c r="C98" s="347"/>
      <c r="D98" s="347"/>
      <c r="E98" s="347"/>
      <c r="F98" s="347"/>
      <c r="G98" s="347"/>
      <c r="H98" s="49">
        <v>3</v>
      </c>
      <c r="I98" s="50" t="s">
        <v>3</v>
      </c>
      <c r="J98" s="51" t="e">
        <f t="shared" ref="J98:L98" si="101">SUM(J99+J107+J137+J144+J148+J152+J156)</f>
        <v>#REF!</v>
      </c>
      <c r="K98" s="51" t="e">
        <f t="shared" si="101"/>
        <v>#REF!</v>
      </c>
      <c r="L98" s="51" t="e">
        <f t="shared" si="101"/>
        <v>#REF!</v>
      </c>
      <c r="M98" s="51" t="e">
        <f t="shared" ref="M98:Q98" si="102">SUM(M99+M107+M137+M144+M148+M152+M156)</f>
        <v>#REF!</v>
      </c>
      <c r="N98" s="51" t="e">
        <f t="shared" si="102"/>
        <v>#REF!</v>
      </c>
      <c r="O98" s="51">
        <f>SUM(O99+O107+O137+O144+O148+O152+O156)</f>
        <v>1714600</v>
      </c>
      <c r="P98" s="51">
        <f t="shared" si="102"/>
        <v>-7800</v>
      </c>
      <c r="Q98" s="51">
        <f t="shared" si="102"/>
        <v>1706800</v>
      </c>
      <c r="R98" s="757">
        <f t="shared" si="95"/>
        <v>99.545083401376417</v>
      </c>
    </row>
    <row r="99" spans="1:18" s="65" customFormat="1" x14ac:dyDescent="0.25">
      <c r="A99" s="463"/>
      <c r="B99" s="345"/>
      <c r="C99" s="345"/>
      <c r="D99" s="345"/>
      <c r="E99" s="345"/>
      <c r="F99" s="345"/>
      <c r="G99" s="345"/>
      <c r="H99" s="62">
        <v>31</v>
      </c>
      <c r="I99" s="63" t="s">
        <v>41</v>
      </c>
      <c r="J99" s="64">
        <f t="shared" ref="J99:Q99" si="103">SUM(J100+J102+J104)</f>
        <v>454690</v>
      </c>
      <c r="K99" s="64">
        <f t="shared" si="103"/>
        <v>613000</v>
      </c>
      <c r="L99" s="64">
        <f t="shared" si="103"/>
        <v>498000</v>
      </c>
      <c r="M99" s="64">
        <f t="shared" si="103"/>
        <v>1146300</v>
      </c>
      <c r="N99" s="64">
        <f t="shared" si="103"/>
        <v>152140.15528568585</v>
      </c>
      <c r="O99" s="64">
        <f t="shared" si="103"/>
        <v>320200</v>
      </c>
      <c r="P99" s="64">
        <f t="shared" si="103"/>
        <v>11500</v>
      </c>
      <c r="Q99" s="64">
        <f t="shared" si="103"/>
        <v>331700</v>
      </c>
      <c r="R99" s="755">
        <f t="shared" si="95"/>
        <v>103.59150530918176</v>
      </c>
    </row>
    <row r="100" spans="1:18" s="1" customFormat="1" x14ac:dyDescent="0.25">
      <c r="A100" s="464"/>
      <c r="B100" s="336"/>
      <c r="C100" s="336" t="s">
        <v>365</v>
      </c>
      <c r="D100" s="336"/>
      <c r="E100" s="336"/>
      <c r="F100" s="336"/>
      <c r="G100" s="336"/>
      <c r="H100" s="23">
        <v>311</v>
      </c>
      <c r="I100" s="8" t="s">
        <v>42</v>
      </c>
      <c r="J100" s="12">
        <f>SUM(J101)</f>
        <v>382608</v>
      </c>
      <c r="K100" s="12">
        <f>SUM(K101)</f>
        <v>500000</v>
      </c>
      <c r="L100" s="12">
        <f>SUM(L101)</f>
        <v>400000</v>
      </c>
      <c r="M100" s="12">
        <f t="shared" ref="M100:Q100" si="104">M101</f>
        <v>923300</v>
      </c>
      <c r="N100" s="12">
        <f t="shared" si="104"/>
        <v>122542.96900922424</v>
      </c>
      <c r="O100" s="12">
        <f t="shared" si="104"/>
        <v>259000</v>
      </c>
      <c r="P100" s="12">
        <f t="shared" si="104"/>
        <v>8000</v>
      </c>
      <c r="Q100" s="12">
        <f t="shared" si="104"/>
        <v>267000</v>
      </c>
      <c r="R100" s="756">
        <f t="shared" si="95"/>
        <v>103.08880308880308</v>
      </c>
    </row>
    <row r="101" spans="1:18" x14ac:dyDescent="0.25">
      <c r="A101" s="464"/>
      <c r="B101" s="336"/>
      <c r="C101" s="336"/>
      <c r="D101" s="336"/>
      <c r="E101" s="336"/>
      <c r="F101" s="336"/>
      <c r="G101" s="336"/>
      <c r="H101" s="24">
        <v>3111</v>
      </c>
      <c r="I101" s="15" t="s">
        <v>134</v>
      </c>
      <c r="J101" s="16">
        <v>382608</v>
      </c>
      <c r="K101" s="16">
        <v>500000</v>
      </c>
      <c r="L101" s="16">
        <v>400000</v>
      </c>
      <c r="M101" s="16">
        <f>Posebni!F15+Posebni!F570+Posebni!F602</f>
        <v>923300</v>
      </c>
      <c r="N101" s="16">
        <f>Posebni!G15+Posebni!G570+Posebni!G602</f>
        <v>122542.96900922424</v>
      </c>
      <c r="O101" s="16">
        <f>Posebni!H15+Posebni!H570+Posebni!H571+Posebni!H602+Posebni!H603</f>
        <v>259000</v>
      </c>
      <c r="P101" s="16">
        <f>Posebni!I15+Posebni!I570+Posebni!I571+Posebni!I602+Posebni!I603</f>
        <v>8000</v>
      </c>
      <c r="Q101" s="16">
        <f>SUM(O101+P101)</f>
        <v>267000</v>
      </c>
      <c r="R101" s="749">
        <f t="shared" ref="R101:R106" si="105">Q101/O101*100</f>
        <v>103.08880308880308</v>
      </c>
    </row>
    <row r="102" spans="1:18" s="1" customFormat="1" x14ac:dyDescent="0.25">
      <c r="A102" s="464"/>
      <c r="B102" s="336"/>
      <c r="C102" s="336"/>
      <c r="D102" s="336"/>
      <c r="E102" s="336"/>
      <c r="F102" s="336"/>
      <c r="G102" s="336"/>
      <c r="H102" s="23">
        <v>312</v>
      </c>
      <c r="I102" s="8" t="s">
        <v>43</v>
      </c>
      <c r="J102" s="12">
        <f t="shared" ref="J102:Q102" si="106">SUM(J103)</f>
        <v>13926</v>
      </c>
      <c r="K102" s="12">
        <f t="shared" si="106"/>
        <v>25000</v>
      </c>
      <c r="L102" s="12">
        <f t="shared" si="106"/>
        <v>25000</v>
      </c>
      <c r="M102" s="12">
        <f t="shared" si="106"/>
        <v>70000</v>
      </c>
      <c r="N102" s="12">
        <f t="shared" si="106"/>
        <v>9290.596589023824</v>
      </c>
      <c r="O102" s="12">
        <f t="shared" si="106"/>
        <v>20400</v>
      </c>
      <c r="P102" s="12">
        <f t="shared" si="106"/>
        <v>1100</v>
      </c>
      <c r="Q102" s="12">
        <f t="shared" si="106"/>
        <v>21500</v>
      </c>
      <c r="R102" s="756">
        <f t="shared" si="105"/>
        <v>105.3921568627451</v>
      </c>
    </row>
    <row r="103" spans="1:18" x14ac:dyDescent="0.25">
      <c r="A103" s="464"/>
      <c r="B103" s="336"/>
      <c r="C103" s="336"/>
      <c r="D103" s="336"/>
      <c r="E103" s="336"/>
      <c r="F103" s="336"/>
      <c r="G103" s="336"/>
      <c r="H103" s="24">
        <v>3121</v>
      </c>
      <c r="I103" s="15" t="s">
        <v>43</v>
      </c>
      <c r="J103" s="16">
        <v>13926</v>
      </c>
      <c r="K103" s="16">
        <v>25000</v>
      </c>
      <c r="L103" s="16">
        <v>25000</v>
      </c>
      <c r="M103" s="16">
        <f>Posebni!F17+Posebni!F573</f>
        <v>70000</v>
      </c>
      <c r="N103" s="16">
        <f>Posebni!G17+Posebni!G573</f>
        <v>9290.596589023824</v>
      </c>
      <c r="O103" s="16">
        <f>Posebni!H17+Posebni!H573+Posebni!H574</f>
        <v>20400</v>
      </c>
      <c r="P103" s="16">
        <f>Posebni!I17+Posebni!I573+Posebni!I574</f>
        <v>1100</v>
      </c>
      <c r="Q103" s="16">
        <f>SUM(O103+P103)</f>
        <v>21500</v>
      </c>
      <c r="R103" s="749">
        <f t="shared" si="105"/>
        <v>105.3921568627451</v>
      </c>
    </row>
    <row r="104" spans="1:18" s="1" customFormat="1" x14ac:dyDescent="0.25">
      <c r="A104" s="464"/>
      <c r="B104" s="336"/>
      <c r="C104" s="336" t="s">
        <v>365</v>
      </c>
      <c r="D104" s="336"/>
      <c r="E104" s="336"/>
      <c r="F104" s="336"/>
      <c r="G104" s="336"/>
      <c r="H104" s="23">
        <v>313</v>
      </c>
      <c r="I104" s="8" t="s">
        <v>44</v>
      </c>
      <c r="J104" s="12">
        <f t="shared" ref="J104:O104" si="107">SUM(J105:J106)</f>
        <v>58156</v>
      </c>
      <c r="K104" s="12">
        <f t="shared" si="107"/>
        <v>88000</v>
      </c>
      <c r="L104" s="12">
        <f t="shared" si="107"/>
        <v>73000</v>
      </c>
      <c r="M104" s="12">
        <f t="shared" si="107"/>
        <v>153000</v>
      </c>
      <c r="N104" s="12">
        <f t="shared" si="107"/>
        <v>20306.589687437783</v>
      </c>
      <c r="O104" s="12">
        <f t="shared" si="107"/>
        <v>40800</v>
      </c>
      <c r="P104" s="12">
        <f t="shared" ref="P104:Q104" si="108">SUM(P105:P106)</f>
        <v>2400</v>
      </c>
      <c r="Q104" s="12">
        <f t="shared" si="108"/>
        <v>43200</v>
      </c>
      <c r="R104" s="756">
        <f t="shared" si="105"/>
        <v>105.88235294117648</v>
      </c>
    </row>
    <row r="105" spans="1:18" x14ac:dyDescent="0.25">
      <c r="A105" s="464"/>
      <c r="B105" s="336"/>
      <c r="C105" s="336"/>
      <c r="D105" s="336"/>
      <c r="E105" s="336"/>
      <c r="F105" s="336"/>
      <c r="G105" s="336"/>
      <c r="H105" s="24">
        <v>3132</v>
      </c>
      <c r="I105" s="15" t="s">
        <v>45</v>
      </c>
      <c r="J105" s="16">
        <v>51652</v>
      </c>
      <c r="K105" s="16">
        <v>75000</v>
      </c>
      <c r="L105" s="16">
        <v>60000</v>
      </c>
      <c r="M105" s="16">
        <f>Posebni!F19+Posebni!F576+Posebni!F607</f>
        <v>153000</v>
      </c>
      <c r="N105" s="16">
        <f>Posebni!G19+Posebni!G576+Posebni!G607</f>
        <v>20306.589687437783</v>
      </c>
      <c r="O105" s="16">
        <f>Posebni!H19+Posebni!H576+Posebni!H577+Posebni!H607+Posebni!H608</f>
        <v>40800</v>
      </c>
      <c r="P105" s="16">
        <f>Posebni!I19+Posebni!I576+Posebni!I577+Posebni!I607+Posebni!I608</f>
        <v>2400</v>
      </c>
      <c r="Q105" s="16">
        <f>SUM(O105+P105)</f>
        <v>43200</v>
      </c>
      <c r="R105" s="749">
        <f t="shared" si="105"/>
        <v>105.88235294117648</v>
      </c>
    </row>
    <row r="106" spans="1:18" x14ac:dyDescent="0.25">
      <c r="A106" s="464"/>
      <c r="B106" s="336"/>
      <c r="C106" s="336"/>
      <c r="D106" s="336"/>
      <c r="E106" s="336"/>
      <c r="F106" s="336"/>
      <c r="G106" s="336"/>
      <c r="H106" s="24">
        <v>3133</v>
      </c>
      <c r="I106" s="15" t="s">
        <v>46</v>
      </c>
      <c r="J106" s="16">
        <v>6504</v>
      </c>
      <c r="K106" s="16">
        <v>13000</v>
      </c>
      <c r="L106" s="16">
        <v>13000</v>
      </c>
      <c r="M106" s="16"/>
      <c r="N106" s="16"/>
      <c r="O106" s="16">
        <v>0</v>
      </c>
      <c r="P106" s="16">
        <v>0</v>
      </c>
      <c r="Q106" s="16">
        <f>SUM(O106+P106)</f>
        <v>0</v>
      </c>
      <c r="R106" s="749" t="e">
        <f t="shared" si="105"/>
        <v>#DIV/0!</v>
      </c>
    </row>
    <row r="107" spans="1:18" s="65" customFormat="1" x14ac:dyDescent="0.25">
      <c r="A107" s="465"/>
      <c r="B107" s="346"/>
      <c r="C107" s="346"/>
      <c r="D107" s="346"/>
      <c r="E107" s="346"/>
      <c r="F107" s="346"/>
      <c r="G107" s="346"/>
      <c r="H107" s="66">
        <v>32</v>
      </c>
      <c r="I107" s="67" t="s">
        <v>47</v>
      </c>
      <c r="J107" s="68">
        <f t="shared" ref="J107:Q107" si="109">SUM(J108+J113+J119+J128+J130)</f>
        <v>1518759</v>
      </c>
      <c r="K107" s="68">
        <f t="shared" si="109"/>
        <v>1445000</v>
      </c>
      <c r="L107" s="68">
        <f t="shared" si="109"/>
        <v>1675000</v>
      </c>
      <c r="M107" s="68" t="e">
        <f t="shared" si="109"/>
        <v>#REF!</v>
      </c>
      <c r="N107" s="68" t="e">
        <f t="shared" si="109"/>
        <v>#REF!</v>
      </c>
      <c r="O107" s="68">
        <f t="shared" si="109"/>
        <v>786100</v>
      </c>
      <c r="P107" s="68">
        <f t="shared" si="109"/>
        <v>-55300</v>
      </c>
      <c r="Q107" s="68">
        <f t="shared" si="109"/>
        <v>730800</v>
      </c>
      <c r="R107" s="755">
        <f>Q107/O107*100</f>
        <v>92.965271593944792</v>
      </c>
    </row>
    <row r="108" spans="1:18" s="1" customFormat="1" x14ac:dyDescent="0.25">
      <c r="A108" s="464"/>
      <c r="B108" s="336"/>
      <c r="C108" s="336"/>
      <c r="D108" s="336"/>
      <c r="E108" s="336"/>
      <c r="F108" s="336"/>
      <c r="G108" s="336"/>
      <c r="H108" s="23">
        <v>321</v>
      </c>
      <c r="I108" s="8" t="s">
        <v>48</v>
      </c>
      <c r="J108" s="12">
        <f>SUM(J109:J112)</f>
        <v>59873</v>
      </c>
      <c r="K108" s="12">
        <f>SUM(K109:K112)</f>
        <v>81000</v>
      </c>
      <c r="L108" s="12">
        <f>SUM(L109:L112)</f>
        <v>81000</v>
      </c>
      <c r="M108" s="12" t="e">
        <f t="shared" ref="M108:Q108" si="110">M109+M110+M111+M112</f>
        <v>#REF!</v>
      </c>
      <c r="N108" s="12" t="e">
        <f t="shared" si="110"/>
        <v>#REF!</v>
      </c>
      <c r="O108" s="12">
        <f t="shared" si="110"/>
        <v>14000</v>
      </c>
      <c r="P108" s="12">
        <f t="shared" si="110"/>
        <v>0</v>
      </c>
      <c r="Q108" s="12">
        <f t="shared" si="110"/>
        <v>14000</v>
      </c>
      <c r="R108" s="756">
        <f>Q108/O108*100</f>
        <v>100</v>
      </c>
    </row>
    <row r="109" spans="1:18" x14ac:dyDescent="0.25">
      <c r="A109" s="464"/>
      <c r="B109" s="336"/>
      <c r="C109" s="336"/>
      <c r="D109" s="336"/>
      <c r="E109" s="336"/>
      <c r="F109" s="336"/>
      <c r="G109" s="336"/>
      <c r="H109" s="24">
        <v>3211</v>
      </c>
      <c r="I109" s="15" t="s">
        <v>49</v>
      </c>
      <c r="J109" s="16">
        <v>23045</v>
      </c>
      <c r="K109" s="16">
        <v>30000</v>
      </c>
      <c r="L109" s="16">
        <v>30000</v>
      </c>
      <c r="M109" s="16">
        <f>Posebni!F22</f>
        <v>10000</v>
      </c>
      <c r="N109" s="16">
        <f>Posebni!G22</f>
        <v>1327.2280841462605</v>
      </c>
      <c r="O109" s="16">
        <f>Posebni!H22</f>
        <v>2000</v>
      </c>
      <c r="P109" s="16">
        <f>Posebni!I22</f>
        <v>0</v>
      </c>
      <c r="Q109" s="16">
        <f>SUM(O109+P109)</f>
        <v>2000</v>
      </c>
      <c r="R109" s="749">
        <f t="shared" ref="R109:R136" si="111">Q109/O109*100</f>
        <v>100</v>
      </c>
    </row>
    <row r="110" spans="1:18" x14ac:dyDescent="0.25">
      <c r="A110" s="464"/>
      <c r="B110" s="336"/>
      <c r="C110" s="336"/>
      <c r="D110" s="336"/>
      <c r="E110" s="336"/>
      <c r="F110" s="336"/>
      <c r="G110" s="336"/>
      <c r="H110" s="24">
        <v>3212</v>
      </c>
      <c r="I110" s="44" t="s">
        <v>155</v>
      </c>
      <c r="J110" s="16">
        <v>22400</v>
      </c>
      <c r="K110" s="16">
        <v>26000</v>
      </c>
      <c r="L110" s="16">
        <v>26000</v>
      </c>
      <c r="M110" s="16">
        <f>Posebni!F23+Posebni!F611</f>
        <v>35000</v>
      </c>
      <c r="N110" s="16">
        <f>Posebni!G23+Posebni!G611</f>
        <v>4645.2982945119111</v>
      </c>
      <c r="O110" s="16">
        <f>Posebni!H23+Posebni!H611+Posebni!H612</f>
        <v>6000</v>
      </c>
      <c r="P110" s="16">
        <f>Posebni!I23+Posebni!I611+Posebni!I612</f>
        <v>0</v>
      </c>
      <c r="Q110" s="16">
        <f t="shared" ref="Q110:Q112" si="112">SUM(O110+P110)</f>
        <v>6000</v>
      </c>
      <c r="R110" s="749">
        <f t="shared" si="111"/>
        <v>100</v>
      </c>
    </row>
    <row r="111" spans="1:18" x14ac:dyDescent="0.25">
      <c r="A111" s="464"/>
      <c r="B111" s="336"/>
      <c r="C111" s="336"/>
      <c r="D111" s="336"/>
      <c r="E111" s="336"/>
      <c r="F111" s="336"/>
      <c r="G111" s="336"/>
      <c r="H111" s="24">
        <v>3213</v>
      </c>
      <c r="I111" s="15" t="s">
        <v>51</v>
      </c>
      <c r="J111" s="16">
        <v>3500</v>
      </c>
      <c r="K111" s="16">
        <v>10000</v>
      </c>
      <c r="L111" s="16">
        <v>10000</v>
      </c>
      <c r="M111" s="16" t="e">
        <f>Posebni!F24+Posebni!#REF!</f>
        <v>#REF!</v>
      </c>
      <c r="N111" s="16" t="e">
        <f>Posebni!G24+Posebni!#REF!</f>
        <v>#REF!</v>
      </c>
      <c r="O111" s="16">
        <f>Posebni!H24</f>
        <v>2000</v>
      </c>
      <c r="P111" s="16">
        <f>Posebni!I24</f>
        <v>0</v>
      </c>
      <c r="Q111" s="16">
        <f t="shared" si="112"/>
        <v>2000</v>
      </c>
      <c r="R111" s="749">
        <f t="shared" si="111"/>
        <v>100</v>
      </c>
    </row>
    <row r="112" spans="1:18" x14ac:dyDescent="0.25">
      <c r="A112" s="464"/>
      <c r="B112" s="336"/>
      <c r="C112" s="336"/>
      <c r="D112" s="336"/>
      <c r="E112" s="336"/>
      <c r="F112" s="336"/>
      <c r="G112" s="336"/>
      <c r="H112" s="24">
        <v>3214</v>
      </c>
      <c r="I112" s="15" t="s">
        <v>144</v>
      </c>
      <c r="J112" s="16">
        <v>10928</v>
      </c>
      <c r="K112" s="16">
        <v>15000</v>
      </c>
      <c r="L112" s="16">
        <v>15000</v>
      </c>
      <c r="M112" s="16">
        <f>Posebni!F25+Posebni!F580</f>
        <v>16000</v>
      </c>
      <c r="N112" s="16">
        <f>Posebni!G25+Posebni!G580</f>
        <v>2123.5649346340169</v>
      </c>
      <c r="O112" s="16">
        <f>Posebni!H25+Posebni!H580+Posebni!H581</f>
        <v>4000</v>
      </c>
      <c r="P112" s="16">
        <f>Posebni!I25+Posebni!I580+Posebni!I581</f>
        <v>0</v>
      </c>
      <c r="Q112" s="16">
        <f t="shared" si="112"/>
        <v>4000</v>
      </c>
      <c r="R112" s="749">
        <f t="shared" si="111"/>
        <v>100</v>
      </c>
    </row>
    <row r="113" spans="1:18" s="1" customFormat="1" x14ac:dyDescent="0.25">
      <c r="A113" s="464"/>
      <c r="B113" s="336"/>
      <c r="C113" s="336"/>
      <c r="D113" s="336"/>
      <c r="E113" s="336"/>
      <c r="F113" s="336"/>
      <c r="G113" s="336"/>
      <c r="H113" s="23">
        <v>322</v>
      </c>
      <c r="I113" s="8" t="s">
        <v>52</v>
      </c>
      <c r="J113" s="12">
        <f t="shared" ref="J113:Q113" si="113">SUM(J114:J118)</f>
        <v>281981</v>
      </c>
      <c r="K113" s="12">
        <f t="shared" si="113"/>
        <v>293000</v>
      </c>
      <c r="L113" s="12">
        <f t="shared" si="113"/>
        <v>310000</v>
      </c>
      <c r="M113" s="12">
        <f t="shared" si="113"/>
        <v>414000</v>
      </c>
      <c r="N113" s="12">
        <f t="shared" si="113"/>
        <v>54947.242683655182</v>
      </c>
      <c r="O113" s="12">
        <f t="shared" si="113"/>
        <v>63750</v>
      </c>
      <c r="P113" s="12">
        <f t="shared" si="113"/>
        <v>-8100</v>
      </c>
      <c r="Q113" s="12">
        <f t="shared" si="113"/>
        <v>55650</v>
      </c>
      <c r="R113" s="756">
        <f t="shared" si="111"/>
        <v>87.294117647058826</v>
      </c>
    </row>
    <row r="114" spans="1:18" x14ac:dyDescent="0.25">
      <c r="A114" s="464"/>
      <c r="B114" s="336"/>
      <c r="C114" s="336"/>
      <c r="D114" s="336"/>
      <c r="E114" s="336"/>
      <c r="F114" s="336"/>
      <c r="G114" s="336"/>
      <c r="H114" s="24">
        <v>3221</v>
      </c>
      <c r="I114" s="15" t="s">
        <v>53</v>
      </c>
      <c r="J114" s="16">
        <v>5612</v>
      </c>
      <c r="K114" s="16">
        <v>15000</v>
      </c>
      <c r="L114" s="16">
        <v>15000</v>
      </c>
      <c r="M114" s="16">
        <f>Posebni!F31+Posebni!F583</f>
        <v>27000</v>
      </c>
      <c r="N114" s="16">
        <f>Posebni!G31+Posebni!G583</f>
        <v>3583.5158271949035</v>
      </c>
      <c r="O114" s="16">
        <f>Posebni!H31+Posebni!H100+Posebni!H583+Posebni!H584</f>
        <v>10500</v>
      </c>
      <c r="P114" s="16">
        <f>Posebni!I31+Posebni!I100+Posebni!I583+Posebni!I584</f>
        <v>-100</v>
      </c>
      <c r="Q114" s="16">
        <f>SUM(O114+P114)</f>
        <v>10400</v>
      </c>
      <c r="R114" s="749">
        <f t="shared" si="111"/>
        <v>99.047619047619051</v>
      </c>
    </row>
    <row r="115" spans="1:18" x14ac:dyDescent="0.25">
      <c r="A115" s="464"/>
      <c r="B115" s="336"/>
      <c r="C115" s="336"/>
      <c r="D115" s="336"/>
      <c r="E115" s="336"/>
      <c r="F115" s="336"/>
      <c r="G115" s="336"/>
      <c r="H115" s="24">
        <v>3223</v>
      </c>
      <c r="I115" s="15" t="s">
        <v>54</v>
      </c>
      <c r="J115" s="16">
        <v>251496</v>
      </c>
      <c r="K115" s="16">
        <v>250000</v>
      </c>
      <c r="L115" s="16">
        <v>250000</v>
      </c>
      <c r="M115" s="16">
        <f>Posebni!F303+Posebni!F32</f>
        <v>190000</v>
      </c>
      <c r="N115" s="16">
        <f>Posebni!G303+Posebni!G32</f>
        <v>25217.333598778947</v>
      </c>
      <c r="O115" s="16">
        <f>Posebni!H303+Posebni!H32</f>
        <v>25500</v>
      </c>
      <c r="P115" s="16">
        <f>Posebni!I303+Posebni!I32</f>
        <v>0</v>
      </c>
      <c r="Q115" s="16">
        <f t="shared" ref="Q115:Q118" si="114">SUM(O115+P115)</f>
        <v>25500</v>
      </c>
      <c r="R115" s="749">
        <f t="shared" si="111"/>
        <v>100</v>
      </c>
    </row>
    <row r="116" spans="1:18" x14ac:dyDescent="0.25">
      <c r="A116" s="464"/>
      <c r="B116" s="336"/>
      <c r="C116" s="336"/>
      <c r="D116" s="336"/>
      <c r="E116" s="336"/>
      <c r="F116" s="336"/>
      <c r="G116" s="336"/>
      <c r="H116" s="24">
        <v>3224</v>
      </c>
      <c r="I116" s="15" t="s">
        <v>156</v>
      </c>
      <c r="J116" s="16">
        <v>21072</v>
      </c>
      <c r="K116" s="16">
        <v>20000</v>
      </c>
      <c r="L116" s="16">
        <v>30000</v>
      </c>
      <c r="M116" s="16">
        <f>Posebni!F33+Posebni!F449</f>
        <v>32000</v>
      </c>
      <c r="N116" s="16">
        <f>Posebni!G33+Posebni!G449</f>
        <v>4247.129869268033</v>
      </c>
      <c r="O116" s="16">
        <f>Posebni!H33+Posebni!H449</f>
        <v>2250</v>
      </c>
      <c r="P116" s="16">
        <f>Posebni!I33+Posebni!I449</f>
        <v>0</v>
      </c>
      <c r="Q116" s="16">
        <f t="shared" si="114"/>
        <v>2250</v>
      </c>
      <c r="R116" s="749">
        <f t="shared" si="111"/>
        <v>100</v>
      </c>
    </row>
    <row r="117" spans="1:18" x14ac:dyDescent="0.25">
      <c r="A117" s="464"/>
      <c r="B117" s="336"/>
      <c r="C117" s="336"/>
      <c r="D117" s="336"/>
      <c r="E117" s="336"/>
      <c r="F117" s="336"/>
      <c r="G117" s="336"/>
      <c r="H117" s="24">
        <v>3225</v>
      </c>
      <c r="I117" s="15" t="s">
        <v>55</v>
      </c>
      <c r="J117" s="16">
        <v>3801</v>
      </c>
      <c r="K117" s="16">
        <v>8000</v>
      </c>
      <c r="L117" s="16">
        <v>15000</v>
      </c>
      <c r="M117" s="16">
        <f>Posebni!F34+Posebni!F296+Posebni!F357</f>
        <v>145000</v>
      </c>
      <c r="N117" s="16">
        <f>Posebni!G34+Posebni!G296+Posebni!G357</f>
        <v>19244.807220120776</v>
      </c>
      <c r="O117" s="16">
        <f>Posebni!H34+Posebni!H296+Posebni!H357</f>
        <v>20000</v>
      </c>
      <c r="P117" s="16">
        <f>Posebni!I34+Posebni!I296+Posebni!I357</f>
        <v>-8000</v>
      </c>
      <c r="Q117" s="16">
        <f t="shared" si="114"/>
        <v>12000</v>
      </c>
      <c r="R117" s="749">
        <f t="shared" si="111"/>
        <v>60</v>
      </c>
    </row>
    <row r="118" spans="1:18" x14ac:dyDescent="0.25">
      <c r="A118" s="464"/>
      <c r="B118" s="336"/>
      <c r="C118" s="336"/>
      <c r="D118" s="336"/>
      <c r="E118" s="336"/>
      <c r="F118" s="336"/>
      <c r="G118" s="336"/>
      <c r="H118" s="24">
        <v>3227</v>
      </c>
      <c r="I118" s="15" t="s">
        <v>135</v>
      </c>
      <c r="J118" s="16">
        <v>0</v>
      </c>
      <c r="K118" s="16">
        <v>0</v>
      </c>
      <c r="L118" s="16">
        <v>0</v>
      </c>
      <c r="M118" s="16">
        <f>Posebni!F35+Posebni!F229</f>
        <v>20000</v>
      </c>
      <c r="N118" s="16">
        <f>Posebni!G35+Posebni!G229</f>
        <v>2654.4561682925209</v>
      </c>
      <c r="O118" s="16">
        <f>Posebni!H35+Posebni!H229</f>
        <v>5500</v>
      </c>
      <c r="P118" s="16">
        <f>Posebni!I35+Posebni!I229</f>
        <v>0</v>
      </c>
      <c r="Q118" s="16">
        <f t="shared" si="114"/>
        <v>5500</v>
      </c>
      <c r="R118" s="749">
        <f t="shared" si="111"/>
        <v>100</v>
      </c>
    </row>
    <row r="119" spans="1:18" s="1" customFormat="1" x14ac:dyDescent="0.25">
      <c r="A119" s="464"/>
      <c r="B119" s="336"/>
      <c r="C119" s="336" t="s">
        <v>365</v>
      </c>
      <c r="D119" s="336" t="s">
        <v>366</v>
      </c>
      <c r="E119" s="336"/>
      <c r="F119" s="336" t="s">
        <v>368</v>
      </c>
      <c r="G119" s="336"/>
      <c r="H119" s="23">
        <v>323</v>
      </c>
      <c r="I119" s="8" t="s">
        <v>56</v>
      </c>
      <c r="J119" s="12">
        <f t="shared" ref="J119:Q119" si="115">SUM(J120:J127)</f>
        <v>913407</v>
      </c>
      <c r="K119" s="12">
        <f t="shared" si="115"/>
        <v>896000</v>
      </c>
      <c r="L119" s="12">
        <f t="shared" si="115"/>
        <v>1059000</v>
      </c>
      <c r="M119" s="12" t="e">
        <f t="shared" si="115"/>
        <v>#REF!</v>
      </c>
      <c r="N119" s="12" t="e">
        <f t="shared" si="115"/>
        <v>#REF!</v>
      </c>
      <c r="O119" s="12">
        <f t="shared" si="115"/>
        <v>612850</v>
      </c>
      <c r="P119" s="12">
        <f t="shared" si="115"/>
        <v>-46800</v>
      </c>
      <c r="Q119" s="12">
        <f t="shared" si="115"/>
        <v>566050</v>
      </c>
      <c r="R119" s="756">
        <f t="shared" si="111"/>
        <v>92.36354736069184</v>
      </c>
    </row>
    <row r="120" spans="1:18" x14ac:dyDescent="0.25">
      <c r="A120" s="464"/>
      <c r="B120" s="336"/>
      <c r="C120" s="336"/>
      <c r="D120" s="336"/>
      <c r="E120" s="336"/>
      <c r="F120" s="336"/>
      <c r="G120" s="336"/>
      <c r="H120" s="24">
        <v>3231</v>
      </c>
      <c r="I120" s="15" t="s">
        <v>57</v>
      </c>
      <c r="J120" s="16">
        <v>32822</v>
      </c>
      <c r="K120" s="16">
        <v>35000</v>
      </c>
      <c r="L120" s="16">
        <v>35000</v>
      </c>
      <c r="M120" s="16">
        <f>Posebni!F37</f>
        <v>45000</v>
      </c>
      <c r="N120" s="16">
        <f>Posebni!G37</f>
        <v>5972.5263786581718</v>
      </c>
      <c r="O120" s="16">
        <f>Posebni!H37</f>
        <v>6000</v>
      </c>
      <c r="P120" s="16">
        <f>Posebni!I37</f>
        <v>0</v>
      </c>
      <c r="Q120" s="16">
        <f>SUM(O120+P120)</f>
        <v>6000</v>
      </c>
      <c r="R120" s="749">
        <f t="shared" si="111"/>
        <v>100</v>
      </c>
    </row>
    <row r="121" spans="1:18" x14ac:dyDescent="0.25">
      <c r="A121" s="464"/>
      <c r="B121" s="336"/>
      <c r="C121" s="336"/>
      <c r="D121" s="336"/>
      <c r="E121" s="336"/>
      <c r="F121" s="336"/>
      <c r="G121" s="336"/>
      <c r="H121" s="24">
        <v>3232</v>
      </c>
      <c r="I121" s="15" t="s">
        <v>58</v>
      </c>
      <c r="J121" s="16">
        <v>498251</v>
      </c>
      <c r="K121" s="16">
        <v>500000</v>
      </c>
      <c r="L121" s="16">
        <v>600000</v>
      </c>
      <c r="M121" s="16" t="e">
        <f>Posebni!F38+Posebni!F305+Posebni!F312+Posebni!F321+Posebni!#REF!+Posebni!#REF!+Posebni!F327+Posebni!F333+Posebni!F339+Posebni!F345+Posebni!F351+Posebni!F367+Posebni!F451+Posebni!F482+Posebni!#REF!+Posebni!#REF!+Posebni!F495</f>
        <v>#REF!</v>
      </c>
      <c r="N121" s="16" t="e">
        <f>Posebni!G38+Posebni!G305+Posebni!G312+Posebni!G321+Posebni!#REF!+Posebni!#REF!+Posebni!G327+Posebni!G333+Posebni!G339+Posebni!G345+Posebni!G351+Posebni!G367+Posebni!G451+Posebni!G482+Posebni!#REF!+Posebni!#REF!+Posebni!G495</f>
        <v>#REF!</v>
      </c>
      <c r="O121" s="16">
        <f>Posebni!H38+Posebni!H305+Posebni!H312+Posebni!H321+Posebni!H327+Posebni!H333+Posebni!H339+Posebni!H345+Posebni!H351+Posebni!H376+Posebni!H382+Posebni!H384+Posebni!H451</f>
        <v>363400</v>
      </c>
      <c r="P121" s="16">
        <f>Posebni!I38+Posebni!I305+Posebni!I312+Posebni!I321+Posebni!I327+Posebni!I333+Posebni!I339+Posebni!I345+Posebni!I351+Posebni!I375+Posebni!I376+Posebni!I382+Posebni!I384+Posebni!I451</f>
        <v>-57500</v>
      </c>
      <c r="Q121" s="16">
        <f t="shared" ref="Q121:Q127" si="116">SUM(O121+P121)</f>
        <v>305900</v>
      </c>
      <c r="R121" s="749">
        <f t="shared" si="111"/>
        <v>84.177215189873422</v>
      </c>
    </row>
    <row r="122" spans="1:18" x14ac:dyDescent="0.25">
      <c r="A122" s="464"/>
      <c r="B122" s="336"/>
      <c r="C122" s="336"/>
      <c r="D122" s="336"/>
      <c r="E122" s="336"/>
      <c r="F122" s="336"/>
      <c r="G122" s="336"/>
      <c r="H122" s="24">
        <v>3233</v>
      </c>
      <c r="I122" s="15" t="s">
        <v>59</v>
      </c>
      <c r="J122" s="16">
        <v>76081</v>
      </c>
      <c r="K122" s="16">
        <v>30000</v>
      </c>
      <c r="L122" s="16">
        <v>30000</v>
      </c>
      <c r="M122" s="16">
        <f>Posebni!F39+Posebni!F257+Posebni!F590</f>
        <v>36000</v>
      </c>
      <c r="N122" s="16">
        <f>Posebni!G39+Posebni!G257+Posebni!G590</f>
        <v>4778.0211029265383</v>
      </c>
      <c r="O122" s="16">
        <f>Posebni!H39+Posebni!H257+Posebni!H518+Posebni!H519+Posebni!H590+Posebni!H591</f>
        <v>27500</v>
      </c>
      <c r="P122" s="16">
        <f>Posebni!I39+Posebni!I257+Posebni!I518+Posebni!I519+Posebni!I590+Posebni!I591</f>
        <v>-3000</v>
      </c>
      <c r="Q122" s="16">
        <f t="shared" si="116"/>
        <v>24500</v>
      </c>
      <c r="R122" s="749">
        <f t="shared" si="111"/>
        <v>89.090909090909093</v>
      </c>
    </row>
    <row r="123" spans="1:18" x14ac:dyDescent="0.25">
      <c r="A123" s="464"/>
      <c r="B123" s="336"/>
      <c r="C123" s="336"/>
      <c r="D123" s="336"/>
      <c r="E123" s="336"/>
      <c r="F123" s="336"/>
      <c r="G123" s="336"/>
      <c r="H123" s="24">
        <v>3234</v>
      </c>
      <c r="I123" s="15" t="s">
        <v>60</v>
      </c>
      <c r="J123" s="16">
        <v>148075</v>
      </c>
      <c r="K123" s="16">
        <v>120000</v>
      </c>
      <c r="L123" s="16">
        <v>150000</v>
      </c>
      <c r="M123" s="16">
        <f>Posebni!F40+Posebni!F191+Posebni!F290+Posebni!F311</f>
        <v>305000</v>
      </c>
      <c r="N123" s="16">
        <f>Posebni!G40+Posebni!G191+Posebni!G290+Posebni!G311</f>
        <v>40480.456566460947</v>
      </c>
      <c r="O123" s="16">
        <f>Posebni!H40+Posebni!H191+Posebni!H290+Posebni!H311</f>
        <v>62700</v>
      </c>
      <c r="P123" s="16">
        <f>Posebni!I40+Posebni!I191+Posebni!I290+Posebni!I311</f>
        <v>6000</v>
      </c>
      <c r="Q123" s="16">
        <f t="shared" si="116"/>
        <v>68700</v>
      </c>
      <c r="R123" s="749">
        <f t="shared" si="111"/>
        <v>109.56937799043062</v>
      </c>
    </row>
    <row r="124" spans="1:18" x14ac:dyDescent="0.25">
      <c r="A124" s="464"/>
      <c r="B124" s="336"/>
      <c r="C124" s="336"/>
      <c r="D124" s="336"/>
      <c r="E124" s="336"/>
      <c r="F124" s="336"/>
      <c r="G124" s="336"/>
      <c r="H124" s="24">
        <v>3236</v>
      </c>
      <c r="I124" s="15" t="s">
        <v>61</v>
      </c>
      <c r="J124" s="16">
        <v>0</v>
      </c>
      <c r="K124" s="16">
        <v>1000</v>
      </c>
      <c r="L124" s="16">
        <v>1000</v>
      </c>
      <c r="M124" s="16" t="e">
        <f>Posebni!F41+Posebni!F204+Posebni!#REF!</f>
        <v>#REF!</v>
      </c>
      <c r="N124" s="16" t="e">
        <f>Posebni!G41+Posebni!G204+Posebni!#REF!</f>
        <v>#REF!</v>
      </c>
      <c r="O124" s="16">
        <f>Posebni!H41+Posebni!H204</f>
        <v>5000</v>
      </c>
      <c r="P124" s="16">
        <f>Posebni!I41+Posebni!I204</f>
        <v>1500</v>
      </c>
      <c r="Q124" s="16">
        <f t="shared" si="116"/>
        <v>6500</v>
      </c>
      <c r="R124" s="749">
        <f t="shared" si="111"/>
        <v>130</v>
      </c>
    </row>
    <row r="125" spans="1:18" x14ac:dyDescent="0.25">
      <c r="A125" s="464"/>
      <c r="B125" s="336"/>
      <c r="C125" s="336"/>
      <c r="D125" s="336"/>
      <c r="E125" s="336"/>
      <c r="F125" s="336"/>
      <c r="G125" s="336"/>
      <c r="H125" s="24">
        <v>3237</v>
      </c>
      <c r="I125" s="15" t="s">
        <v>62</v>
      </c>
      <c r="J125" s="16">
        <v>134917</v>
      </c>
      <c r="K125" s="16">
        <v>180000</v>
      </c>
      <c r="L125" s="16">
        <v>200000</v>
      </c>
      <c r="M125" s="16">
        <f>Posebni!F42+Posebni!F78+Posebni!F127+Posebni!F236+Posebni!F237</f>
        <v>295000</v>
      </c>
      <c r="N125" s="16">
        <f>Posebni!G42+Posebni!G78+Posebni!G127+Posebni!G236+Posebni!G237</f>
        <v>39153.228482314684</v>
      </c>
      <c r="O125" s="16">
        <f>Posebni!H42+Posebni!H78+Posebni!H127+Posebni!H235+Posebni!H369+Posebni!H508+Posebni!H511+Posebni!H514+Posebni!H515+Posebni!H592+Posebni!H593</f>
        <v>118750</v>
      </c>
      <c r="P125" s="16">
        <f>Posebni!I42+Posebni!I78+Posebni!I127+Posebni!I235+Posebni!I369+Posebni!I508+Posebni!I511+Posebni!I514+Posebni!I515+Posebni!I592+Posebni!I593</f>
        <v>7200</v>
      </c>
      <c r="Q125" s="16">
        <f t="shared" si="116"/>
        <v>125950</v>
      </c>
      <c r="R125" s="749">
        <f t="shared" si="111"/>
        <v>106.06315789473683</v>
      </c>
    </row>
    <row r="126" spans="1:18" x14ac:dyDescent="0.25">
      <c r="A126" s="464"/>
      <c r="B126" s="336"/>
      <c r="C126" s="336"/>
      <c r="D126" s="336"/>
      <c r="E126" s="336"/>
      <c r="F126" s="336"/>
      <c r="G126" s="336"/>
      <c r="H126" s="24">
        <v>3238</v>
      </c>
      <c r="I126" s="15" t="s">
        <v>63</v>
      </c>
      <c r="J126" s="16">
        <v>3376</v>
      </c>
      <c r="K126" s="16">
        <v>5000</v>
      </c>
      <c r="L126" s="16">
        <v>13000</v>
      </c>
      <c r="M126" s="16">
        <f>Posebni!F43</f>
        <v>25000</v>
      </c>
      <c r="N126" s="16">
        <f>Posebni!G43</f>
        <v>3318.0702103656513</v>
      </c>
      <c r="O126" s="16">
        <f>Posebni!H43</f>
        <v>4000</v>
      </c>
      <c r="P126" s="16">
        <f>Posebni!I43</f>
        <v>0</v>
      </c>
      <c r="Q126" s="16">
        <f t="shared" si="116"/>
        <v>4000</v>
      </c>
      <c r="R126" s="749">
        <f t="shared" si="111"/>
        <v>100</v>
      </c>
    </row>
    <row r="127" spans="1:18" x14ac:dyDescent="0.25">
      <c r="A127" s="464"/>
      <c r="B127" s="336"/>
      <c r="C127" s="336"/>
      <c r="D127" s="336"/>
      <c r="E127" s="336"/>
      <c r="F127" s="336"/>
      <c r="G127" s="336"/>
      <c r="H127" s="24">
        <v>3239</v>
      </c>
      <c r="I127" s="15" t="s">
        <v>64</v>
      </c>
      <c r="J127" s="16">
        <v>19885</v>
      </c>
      <c r="K127" s="16">
        <v>25000</v>
      </c>
      <c r="L127" s="16">
        <v>30000</v>
      </c>
      <c r="M127" s="16" t="e">
        <f>Posebni!F44+Posebni!F102+Posebni!#REF!+Posebni!F258+Posebni!F359</f>
        <v>#REF!</v>
      </c>
      <c r="N127" s="16" t="e">
        <f>Posebni!G44+Posebni!G102+Posebni!#REF!+Posebni!G258+Posebni!G359</f>
        <v>#REF!</v>
      </c>
      <c r="O127" s="16">
        <f>Posebni!H44+Posebni!H102+Posebni!H258+Posebni!H359</f>
        <v>25500</v>
      </c>
      <c r="P127" s="16">
        <f>Posebni!I44+Posebni!I102+Posebni!I258+Posebni!I359</f>
        <v>-1000</v>
      </c>
      <c r="Q127" s="16">
        <f t="shared" si="116"/>
        <v>24500</v>
      </c>
      <c r="R127" s="749">
        <f t="shared" si="111"/>
        <v>96.078431372549019</v>
      </c>
    </row>
    <row r="128" spans="1:18" s="28" customFormat="1" x14ac:dyDescent="0.25">
      <c r="A128" s="464"/>
      <c r="B128" s="336"/>
      <c r="C128" s="336"/>
      <c r="D128" s="336"/>
      <c r="E128" s="336"/>
      <c r="F128" s="336"/>
      <c r="G128" s="336"/>
      <c r="H128" s="27">
        <v>324</v>
      </c>
      <c r="I128" s="326" t="s">
        <v>362</v>
      </c>
      <c r="J128" s="29">
        <f t="shared" ref="J128:Q128" si="117">SUM(J129)</f>
        <v>0</v>
      </c>
      <c r="K128" s="29">
        <f t="shared" si="117"/>
        <v>1000</v>
      </c>
      <c r="L128" s="29">
        <f t="shared" si="117"/>
        <v>1000</v>
      </c>
      <c r="M128" s="29">
        <f t="shared" si="117"/>
        <v>35000</v>
      </c>
      <c r="N128" s="29">
        <f t="shared" si="117"/>
        <v>4645.298294511912</v>
      </c>
      <c r="O128" s="12">
        <f t="shared" si="117"/>
        <v>6500</v>
      </c>
      <c r="P128" s="12">
        <f t="shared" si="117"/>
        <v>0</v>
      </c>
      <c r="Q128" s="12">
        <f t="shared" si="117"/>
        <v>6500</v>
      </c>
      <c r="R128" s="756">
        <f t="shared" si="111"/>
        <v>100</v>
      </c>
    </row>
    <row r="129" spans="1:18" x14ac:dyDescent="0.25">
      <c r="A129" s="464"/>
      <c r="B129" s="336"/>
      <c r="C129" s="336"/>
      <c r="D129" s="336"/>
      <c r="E129" s="336"/>
      <c r="F129" s="336"/>
      <c r="G129" s="336"/>
      <c r="H129" s="26">
        <v>3241</v>
      </c>
      <c r="I129" s="10" t="s">
        <v>145</v>
      </c>
      <c r="J129" s="16">
        <v>0</v>
      </c>
      <c r="K129" s="16">
        <v>1000</v>
      </c>
      <c r="L129" s="16">
        <v>1000</v>
      </c>
      <c r="M129" s="16">
        <f>Posebni!F46</f>
        <v>35000</v>
      </c>
      <c r="N129" s="16">
        <f>Posebni!G46</f>
        <v>4645.298294511912</v>
      </c>
      <c r="O129" s="16">
        <f>Posebni!H46</f>
        <v>6500</v>
      </c>
      <c r="P129" s="16">
        <f>Posebni!I46</f>
        <v>0</v>
      </c>
      <c r="Q129" s="16">
        <f>SUM(O129+P129)</f>
        <v>6500</v>
      </c>
      <c r="R129" s="749">
        <f t="shared" si="111"/>
        <v>100</v>
      </c>
    </row>
    <row r="130" spans="1:18" s="1" customFormat="1" x14ac:dyDescent="0.25">
      <c r="A130" s="464"/>
      <c r="B130" s="336"/>
      <c r="C130" s="336"/>
      <c r="D130" s="336"/>
      <c r="E130" s="336"/>
      <c r="F130" s="336"/>
      <c r="G130" s="336"/>
      <c r="H130" s="23">
        <v>329</v>
      </c>
      <c r="I130" s="8" t="s">
        <v>65</v>
      </c>
      <c r="J130" s="12">
        <f t="shared" ref="J130:O130" si="118">SUM(J131:J136)</f>
        <v>263498</v>
      </c>
      <c r="K130" s="12">
        <f t="shared" si="118"/>
        <v>174000</v>
      </c>
      <c r="L130" s="12">
        <f t="shared" si="118"/>
        <v>224000</v>
      </c>
      <c r="M130" s="12">
        <f t="shared" si="118"/>
        <v>292000</v>
      </c>
      <c r="N130" s="12">
        <f t="shared" si="118"/>
        <v>38755.060057070805</v>
      </c>
      <c r="O130" s="12">
        <f t="shared" si="118"/>
        <v>89000</v>
      </c>
      <c r="P130" s="12">
        <f t="shared" ref="P130:Q130" si="119">SUM(P131:P136)</f>
        <v>-400</v>
      </c>
      <c r="Q130" s="12">
        <f t="shared" si="119"/>
        <v>88600</v>
      </c>
      <c r="R130" s="756">
        <f t="shared" si="111"/>
        <v>99.550561797752806</v>
      </c>
    </row>
    <row r="131" spans="1:18" x14ac:dyDescent="0.25">
      <c r="A131" s="464"/>
      <c r="B131" s="336"/>
      <c r="C131" s="336"/>
      <c r="D131" s="336"/>
      <c r="E131" s="336"/>
      <c r="F131" s="336"/>
      <c r="G131" s="336"/>
      <c r="H131" s="24">
        <v>3291</v>
      </c>
      <c r="I131" s="44" t="s">
        <v>344</v>
      </c>
      <c r="J131" s="16">
        <v>139148</v>
      </c>
      <c r="K131" s="16">
        <v>50000</v>
      </c>
      <c r="L131" s="16">
        <v>100000</v>
      </c>
      <c r="M131" s="16">
        <f>Posebni!F91+Posebni!F104</f>
        <v>140000</v>
      </c>
      <c r="N131" s="16">
        <f>Posebni!G91+Posebni!G104</f>
        <v>18581.193178047648</v>
      </c>
      <c r="O131" s="16">
        <f>Posebni!H91+Posebni!H104</f>
        <v>55000</v>
      </c>
      <c r="P131" s="16">
        <f>Posebni!I91+Posebni!I104</f>
        <v>1500</v>
      </c>
      <c r="Q131" s="16">
        <f>SUM(O131+P131)</f>
        <v>56500</v>
      </c>
      <c r="R131" s="749">
        <f t="shared" si="111"/>
        <v>102.72727272727273</v>
      </c>
    </row>
    <row r="132" spans="1:18" x14ac:dyDescent="0.25">
      <c r="A132" s="464"/>
      <c r="B132" s="336"/>
      <c r="C132" s="336"/>
      <c r="D132" s="336"/>
      <c r="E132" s="336"/>
      <c r="F132" s="336"/>
      <c r="G132" s="336"/>
      <c r="H132" s="24">
        <v>3292</v>
      </c>
      <c r="I132" s="15" t="s">
        <v>67</v>
      </c>
      <c r="J132" s="16">
        <v>11718</v>
      </c>
      <c r="K132" s="16">
        <v>12000</v>
      </c>
      <c r="L132" s="16">
        <v>12000</v>
      </c>
      <c r="M132" s="16">
        <f>Posebni!F48</f>
        <v>15000</v>
      </c>
      <c r="N132" s="16">
        <f>Posebni!G48</f>
        <v>1990.8421262193906</v>
      </c>
      <c r="O132" s="16">
        <f>Posebni!H48</f>
        <v>4000</v>
      </c>
      <c r="P132" s="16">
        <f>Posebni!I48</f>
        <v>0</v>
      </c>
      <c r="Q132" s="16">
        <f t="shared" ref="Q132:Q136" si="120">SUM(O132+P132)</f>
        <v>4000</v>
      </c>
      <c r="R132" s="749">
        <f t="shared" si="111"/>
        <v>100</v>
      </c>
    </row>
    <row r="133" spans="1:18" x14ac:dyDescent="0.25">
      <c r="A133" s="464"/>
      <c r="B133" s="336"/>
      <c r="C133" s="336"/>
      <c r="D133" s="336"/>
      <c r="E133" s="336"/>
      <c r="F133" s="336"/>
      <c r="G133" s="336"/>
      <c r="H133" s="24">
        <v>3293</v>
      </c>
      <c r="I133" s="15" t="s">
        <v>68</v>
      </c>
      <c r="J133" s="16">
        <v>79821</v>
      </c>
      <c r="K133" s="16">
        <v>80000</v>
      </c>
      <c r="L133" s="16">
        <v>80000</v>
      </c>
      <c r="M133" s="16">
        <f>Posebni!F49+Posebni!F92+Posebni!F260+Posebni!F595</f>
        <v>45000</v>
      </c>
      <c r="N133" s="16">
        <f>Posebni!G49+Posebni!G92+Posebni!G260+Posebni!G595</f>
        <v>5972.5263786581718</v>
      </c>
      <c r="O133" s="16">
        <f>Posebni!H49+Posebni!H92+Posebni!H260+Posebni!H595</f>
        <v>16500</v>
      </c>
      <c r="P133" s="16">
        <f>Posebni!I49+Posebni!I92+Posebni!I260+Posebni!I595</f>
        <v>-900</v>
      </c>
      <c r="Q133" s="16">
        <f t="shared" si="120"/>
        <v>15600</v>
      </c>
      <c r="R133" s="749">
        <f t="shared" si="111"/>
        <v>94.545454545454547</v>
      </c>
    </row>
    <row r="134" spans="1:18" x14ac:dyDescent="0.25">
      <c r="A134" s="464"/>
      <c r="B134" s="336"/>
      <c r="C134" s="336"/>
      <c r="D134" s="336"/>
      <c r="E134" s="336"/>
      <c r="F134" s="336"/>
      <c r="G134" s="336"/>
      <c r="H134" s="24">
        <v>3294</v>
      </c>
      <c r="I134" s="15" t="s">
        <v>69</v>
      </c>
      <c r="J134" s="16">
        <v>2859</v>
      </c>
      <c r="K134" s="16">
        <v>4000</v>
      </c>
      <c r="L134" s="16">
        <v>4000</v>
      </c>
      <c r="M134" s="16">
        <f>Posebni!F93</f>
        <v>30000</v>
      </c>
      <c r="N134" s="16">
        <f>Posebni!G93</f>
        <v>3981.6842524387812</v>
      </c>
      <c r="O134" s="16">
        <f>Posebni!H93</f>
        <v>4000</v>
      </c>
      <c r="P134" s="16">
        <f>Posebni!I93</f>
        <v>0</v>
      </c>
      <c r="Q134" s="16">
        <f t="shared" si="120"/>
        <v>4000</v>
      </c>
      <c r="R134" s="749">
        <f t="shared" si="111"/>
        <v>100</v>
      </c>
    </row>
    <row r="135" spans="1:18" x14ac:dyDescent="0.25">
      <c r="A135" s="464"/>
      <c r="B135" s="336"/>
      <c r="C135" s="336"/>
      <c r="D135" s="336"/>
      <c r="E135" s="336"/>
      <c r="F135" s="336"/>
      <c r="G135" s="336"/>
      <c r="H135" s="24">
        <v>3295</v>
      </c>
      <c r="I135" s="15" t="s">
        <v>131</v>
      </c>
      <c r="J135" s="16">
        <v>1243</v>
      </c>
      <c r="K135" s="16">
        <v>4000</v>
      </c>
      <c r="L135" s="16">
        <v>4000</v>
      </c>
      <c r="M135" s="16">
        <f>Posebni!F50</f>
        <v>50000</v>
      </c>
      <c r="N135" s="16">
        <f>Posebni!G50</f>
        <v>6636.1404207313026</v>
      </c>
      <c r="O135" s="16">
        <f>Posebni!H50</f>
        <v>7000</v>
      </c>
      <c r="P135" s="16">
        <f>Posebni!I50</f>
        <v>0</v>
      </c>
      <c r="Q135" s="16">
        <f t="shared" si="120"/>
        <v>7000</v>
      </c>
      <c r="R135" s="749">
        <f t="shared" si="111"/>
        <v>100</v>
      </c>
    </row>
    <row r="136" spans="1:18" x14ac:dyDescent="0.25">
      <c r="A136" s="466"/>
      <c r="B136" s="340"/>
      <c r="C136" s="340"/>
      <c r="D136" s="340"/>
      <c r="E136" s="340"/>
      <c r="F136" s="340"/>
      <c r="G136" s="340"/>
      <c r="H136" s="33">
        <v>3299</v>
      </c>
      <c r="I136" s="34" t="s">
        <v>65</v>
      </c>
      <c r="J136" s="17">
        <v>28709</v>
      </c>
      <c r="K136" s="17">
        <v>24000</v>
      </c>
      <c r="L136" s="17">
        <v>24000</v>
      </c>
      <c r="M136" s="17">
        <f>Posebni!F51+Posebni!F261</f>
        <v>12000</v>
      </c>
      <c r="N136" s="17">
        <f>Posebni!G51+Posebni!G261</f>
        <v>1592.6737009755125</v>
      </c>
      <c r="O136" s="17">
        <f>Posebni!H51+Posebni!H261</f>
        <v>2500</v>
      </c>
      <c r="P136" s="17">
        <f>Posebni!I51+Posebni!I261</f>
        <v>-1000</v>
      </c>
      <c r="Q136" s="16">
        <f t="shared" si="120"/>
        <v>1500</v>
      </c>
      <c r="R136" s="749">
        <f t="shared" si="111"/>
        <v>60</v>
      </c>
    </row>
    <row r="137" spans="1:18" s="65" customFormat="1" x14ac:dyDescent="0.25">
      <c r="A137" s="465"/>
      <c r="B137" s="346"/>
      <c r="C137" s="346"/>
      <c r="D137" s="346"/>
      <c r="E137" s="346"/>
      <c r="F137" s="346"/>
      <c r="G137" s="346"/>
      <c r="H137" s="66">
        <v>34</v>
      </c>
      <c r="I137" s="67" t="s">
        <v>70</v>
      </c>
      <c r="J137" s="68">
        <f t="shared" ref="J137:O137" si="121">SUM(J138+J140)</f>
        <v>64117</v>
      </c>
      <c r="K137" s="68">
        <f t="shared" si="121"/>
        <v>21000</v>
      </c>
      <c r="L137" s="68">
        <f t="shared" si="121"/>
        <v>56000</v>
      </c>
      <c r="M137" s="68">
        <f t="shared" si="121"/>
        <v>35000</v>
      </c>
      <c r="N137" s="68">
        <f t="shared" si="121"/>
        <v>4645.2982945119111</v>
      </c>
      <c r="O137" s="68">
        <f t="shared" si="121"/>
        <v>4600</v>
      </c>
      <c r="P137" s="68">
        <f t="shared" ref="P137:Q137" si="122">SUM(P138+P140)</f>
        <v>0</v>
      </c>
      <c r="Q137" s="68">
        <f t="shared" si="122"/>
        <v>4600</v>
      </c>
      <c r="R137" s="755">
        <f>Q137/O137*100</f>
        <v>100</v>
      </c>
    </row>
    <row r="138" spans="1:18" s="1" customFormat="1" x14ac:dyDescent="0.25">
      <c r="A138" s="464"/>
      <c r="B138" s="336"/>
      <c r="C138" s="336"/>
      <c r="D138" s="336"/>
      <c r="E138" s="336"/>
      <c r="F138" s="336"/>
      <c r="G138" s="336"/>
      <c r="H138" s="23">
        <v>342</v>
      </c>
      <c r="I138" s="8" t="s">
        <v>147</v>
      </c>
      <c r="J138" s="12">
        <f t="shared" ref="J138:Q138" si="123">SUM(J139)</f>
        <v>44812</v>
      </c>
      <c r="K138" s="12">
        <f t="shared" si="123"/>
        <v>5000</v>
      </c>
      <c r="L138" s="12">
        <f t="shared" si="123"/>
        <v>40000</v>
      </c>
      <c r="M138" s="12">
        <f t="shared" si="123"/>
        <v>0</v>
      </c>
      <c r="N138" s="12">
        <f t="shared" si="123"/>
        <v>0</v>
      </c>
      <c r="O138" s="12">
        <f t="shared" si="123"/>
        <v>0</v>
      </c>
      <c r="P138" s="12">
        <f t="shared" si="123"/>
        <v>0</v>
      </c>
      <c r="Q138" s="12">
        <f t="shared" si="123"/>
        <v>0</v>
      </c>
      <c r="R138" s="749" t="e">
        <f>Q138/O138*100</f>
        <v>#DIV/0!</v>
      </c>
    </row>
    <row r="139" spans="1:18" s="2" customFormat="1" ht="21" x14ac:dyDescent="0.25">
      <c r="A139" s="464"/>
      <c r="B139" s="336"/>
      <c r="C139" s="336"/>
      <c r="D139" s="336"/>
      <c r="E139" s="336"/>
      <c r="F139" s="336"/>
      <c r="G139" s="336"/>
      <c r="H139" s="24">
        <v>3423</v>
      </c>
      <c r="I139" s="15" t="s">
        <v>148</v>
      </c>
      <c r="J139" s="16">
        <v>44812</v>
      </c>
      <c r="K139" s="16">
        <v>5000</v>
      </c>
      <c r="L139" s="16">
        <v>40000</v>
      </c>
      <c r="M139" s="16">
        <v>0</v>
      </c>
      <c r="N139" s="16">
        <v>0</v>
      </c>
      <c r="O139" s="16">
        <v>0</v>
      </c>
      <c r="P139" s="16">
        <v>0</v>
      </c>
      <c r="Q139" s="16">
        <f>SUM(O139+P139)</f>
        <v>0</v>
      </c>
      <c r="R139" s="749" t="e">
        <f t="shared" ref="R139:R143" si="124">Q139/O139*100</f>
        <v>#DIV/0!</v>
      </c>
    </row>
    <row r="140" spans="1:18" s="1" customFormat="1" x14ac:dyDescent="0.25">
      <c r="A140" s="464"/>
      <c r="B140" s="336"/>
      <c r="C140" s="336"/>
      <c r="D140" s="336"/>
      <c r="E140" s="336"/>
      <c r="F140" s="336"/>
      <c r="G140" s="336"/>
      <c r="H140" s="23">
        <v>343</v>
      </c>
      <c r="I140" s="8" t="s">
        <v>71</v>
      </c>
      <c r="J140" s="12">
        <f t="shared" ref="J140:O140" si="125">SUM(J141:J143)</f>
        <v>19305</v>
      </c>
      <c r="K140" s="12">
        <f t="shared" si="125"/>
        <v>16000</v>
      </c>
      <c r="L140" s="12">
        <f t="shared" si="125"/>
        <v>16000</v>
      </c>
      <c r="M140" s="12">
        <f t="shared" si="125"/>
        <v>35000</v>
      </c>
      <c r="N140" s="12">
        <f t="shared" si="125"/>
        <v>4645.2982945119111</v>
      </c>
      <c r="O140" s="12">
        <f t="shared" si="125"/>
        <v>4600</v>
      </c>
      <c r="P140" s="12">
        <f t="shared" ref="P140:Q140" si="126">SUM(P141:P143)</f>
        <v>0</v>
      </c>
      <c r="Q140" s="12">
        <f t="shared" si="126"/>
        <v>4600</v>
      </c>
      <c r="R140" s="756">
        <f t="shared" si="124"/>
        <v>100</v>
      </c>
    </row>
    <row r="141" spans="1:18" x14ac:dyDescent="0.25">
      <c r="A141" s="464"/>
      <c r="B141" s="336"/>
      <c r="C141" s="336"/>
      <c r="D141" s="336"/>
      <c r="E141" s="336"/>
      <c r="F141" s="336"/>
      <c r="G141" s="336"/>
      <c r="H141" s="24">
        <v>3431</v>
      </c>
      <c r="I141" s="15" t="s">
        <v>149</v>
      </c>
      <c r="J141" s="16">
        <v>17392</v>
      </c>
      <c r="K141" s="16">
        <v>11000</v>
      </c>
      <c r="L141" s="16">
        <v>11000</v>
      </c>
      <c r="M141" s="16">
        <f>Posebni!F54</f>
        <v>20000</v>
      </c>
      <c r="N141" s="16">
        <f>Posebni!G54</f>
        <v>2654.4561682925209</v>
      </c>
      <c r="O141" s="16">
        <f>Posebni!H54</f>
        <v>2500</v>
      </c>
      <c r="P141" s="16">
        <f>Posebni!I54</f>
        <v>0</v>
      </c>
      <c r="Q141" s="16">
        <f>SUM(O141+P141)</f>
        <v>2500</v>
      </c>
      <c r="R141" s="749">
        <f t="shared" si="124"/>
        <v>100</v>
      </c>
    </row>
    <row r="142" spans="1:18" x14ac:dyDescent="0.25">
      <c r="A142" s="464"/>
      <c r="B142" s="336"/>
      <c r="C142" s="336"/>
      <c r="D142" s="336"/>
      <c r="E142" s="336"/>
      <c r="F142" s="336"/>
      <c r="G142" s="336"/>
      <c r="H142" s="24">
        <v>3433</v>
      </c>
      <c r="I142" s="15" t="s">
        <v>146</v>
      </c>
      <c r="J142" s="16">
        <v>3</v>
      </c>
      <c r="K142" s="16">
        <v>1000</v>
      </c>
      <c r="L142" s="16">
        <v>1000</v>
      </c>
      <c r="M142" s="16">
        <f>Posebni!F55</f>
        <v>10000</v>
      </c>
      <c r="N142" s="16">
        <f>Posebni!G55</f>
        <v>1327.2280841462605</v>
      </c>
      <c r="O142" s="16">
        <f>Posebni!H55</f>
        <v>1400</v>
      </c>
      <c r="P142" s="16">
        <f>Posebni!I55</f>
        <v>0</v>
      </c>
      <c r="Q142" s="16">
        <f t="shared" ref="Q142:Q143" si="127">SUM(O142+P142)</f>
        <v>1400</v>
      </c>
      <c r="R142" s="749">
        <f t="shared" si="124"/>
        <v>100</v>
      </c>
    </row>
    <row r="143" spans="1:18" x14ac:dyDescent="0.25">
      <c r="A143" s="464"/>
      <c r="B143" s="336"/>
      <c r="C143" s="336"/>
      <c r="D143" s="336"/>
      <c r="E143" s="336"/>
      <c r="F143" s="336"/>
      <c r="G143" s="336"/>
      <c r="H143" s="24">
        <v>3434</v>
      </c>
      <c r="I143" s="15" t="s">
        <v>74</v>
      </c>
      <c r="J143" s="16">
        <v>1910</v>
      </c>
      <c r="K143" s="16">
        <v>4000</v>
      </c>
      <c r="L143" s="16">
        <v>4000</v>
      </c>
      <c r="M143" s="16">
        <f>Posebni!F56</f>
        <v>5000</v>
      </c>
      <c r="N143" s="16">
        <f>Posebni!G56</f>
        <v>663.61404207313024</v>
      </c>
      <c r="O143" s="16">
        <f>Posebni!H56</f>
        <v>700</v>
      </c>
      <c r="P143" s="16">
        <f>Posebni!I56</f>
        <v>0</v>
      </c>
      <c r="Q143" s="16">
        <f t="shared" si="127"/>
        <v>700</v>
      </c>
      <c r="R143" s="749">
        <f t="shared" si="124"/>
        <v>100</v>
      </c>
    </row>
    <row r="144" spans="1:18" s="65" customFormat="1" x14ac:dyDescent="0.25">
      <c r="A144" s="465"/>
      <c r="B144" s="346"/>
      <c r="C144" s="346"/>
      <c r="D144" s="346"/>
      <c r="E144" s="346"/>
      <c r="F144" s="346"/>
      <c r="G144" s="346"/>
      <c r="H144" s="66">
        <v>35</v>
      </c>
      <c r="I144" s="67" t="s">
        <v>75</v>
      </c>
      <c r="J144" s="68">
        <f t="shared" ref="J144:Q144" si="128">SUM(J145)</f>
        <v>0</v>
      </c>
      <c r="K144" s="68">
        <f t="shared" si="128"/>
        <v>0</v>
      </c>
      <c r="L144" s="68">
        <f t="shared" si="128"/>
        <v>0</v>
      </c>
      <c r="M144" s="68" t="e">
        <f t="shared" si="128"/>
        <v>#REF!</v>
      </c>
      <c r="N144" s="68" t="e">
        <f t="shared" si="128"/>
        <v>#REF!</v>
      </c>
      <c r="O144" s="68">
        <f t="shared" si="128"/>
        <v>30000</v>
      </c>
      <c r="P144" s="68">
        <f t="shared" si="128"/>
        <v>0</v>
      </c>
      <c r="Q144" s="68">
        <f t="shared" si="128"/>
        <v>30000</v>
      </c>
      <c r="R144" s="755">
        <f>Q144/O144*100</f>
        <v>100</v>
      </c>
    </row>
    <row r="145" spans="1:18" s="1" customFormat="1" ht="21" x14ac:dyDescent="0.25">
      <c r="A145" s="464"/>
      <c r="B145" s="336"/>
      <c r="C145" s="336"/>
      <c r="D145" s="336"/>
      <c r="E145" s="336"/>
      <c r="F145" s="336"/>
      <c r="G145" s="336"/>
      <c r="H145" s="23">
        <v>352</v>
      </c>
      <c r="I145" s="8" t="s">
        <v>157</v>
      </c>
      <c r="J145" s="12">
        <f>SUM(J147)</f>
        <v>0</v>
      </c>
      <c r="K145" s="12">
        <f>SUM(K147)</f>
        <v>0</v>
      </c>
      <c r="L145" s="12">
        <f>SUM(L147)</f>
        <v>0</v>
      </c>
      <c r="M145" s="12" t="e">
        <f t="shared" ref="M145:Q145" si="129">SUM(M146+M147)</f>
        <v>#REF!</v>
      </c>
      <c r="N145" s="12" t="e">
        <f t="shared" si="129"/>
        <v>#REF!</v>
      </c>
      <c r="O145" s="12">
        <f t="shared" si="129"/>
        <v>30000</v>
      </c>
      <c r="P145" s="12">
        <f t="shared" si="129"/>
        <v>0</v>
      </c>
      <c r="Q145" s="12">
        <f t="shared" si="129"/>
        <v>30000</v>
      </c>
      <c r="R145" s="756">
        <f>Q145/O145*100</f>
        <v>100</v>
      </c>
    </row>
    <row r="146" spans="1:18" s="1" customFormat="1" ht="21" x14ac:dyDescent="0.25">
      <c r="A146" s="464"/>
      <c r="B146" s="336"/>
      <c r="C146" s="336"/>
      <c r="D146" s="336"/>
      <c r="E146" s="336"/>
      <c r="F146" s="336"/>
      <c r="G146" s="336"/>
      <c r="H146" s="26">
        <v>3522</v>
      </c>
      <c r="I146" s="10" t="s">
        <v>385</v>
      </c>
      <c r="J146" s="12"/>
      <c r="K146" s="12"/>
      <c r="L146" s="12"/>
      <c r="M146" s="11">
        <f>Posebni!F114</f>
        <v>100000</v>
      </c>
      <c r="N146" s="11">
        <f>Posebni!G114</f>
        <v>13272.280841462605</v>
      </c>
      <c r="O146" s="16">
        <f>Posebni!H114</f>
        <v>15000</v>
      </c>
      <c r="P146" s="16">
        <f>Posebni!I114</f>
        <v>0</v>
      </c>
      <c r="Q146" s="16">
        <f>SUM(O146+P146)</f>
        <v>15000</v>
      </c>
      <c r="R146" s="749">
        <f t="shared" ref="R146:R147" si="130">Q146/O146*100</f>
        <v>100</v>
      </c>
    </row>
    <row r="147" spans="1:18" ht="21" x14ac:dyDescent="0.25">
      <c r="A147" s="464"/>
      <c r="B147" s="336"/>
      <c r="C147" s="336"/>
      <c r="D147" s="336"/>
      <c r="E147" s="336"/>
      <c r="F147" s="336"/>
      <c r="G147" s="336"/>
      <c r="H147" s="24">
        <v>3523</v>
      </c>
      <c r="I147" s="15" t="s">
        <v>76</v>
      </c>
      <c r="J147" s="16">
        <v>0</v>
      </c>
      <c r="K147" s="16">
        <v>0</v>
      </c>
      <c r="L147" s="16">
        <v>0</v>
      </c>
      <c r="M147" s="16" t="e">
        <f>Posebni!F120+Posebni!#REF!</f>
        <v>#REF!</v>
      </c>
      <c r="N147" s="16" t="e">
        <f>Posebni!G120+Posebni!#REF!</f>
        <v>#REF!</v>
      </c>
      <c r="O147" s="16">
        <f>Posebni!H120</f>
        <v>15000</v>
      </c>
      <c r="P147" s="16">
        <f>Posebni!I120</f>
        <v>0</v>
      </c>
      <c r="Q147" s="16">
        <f>SUM(O147+P147)</f>
        <v>15000</v>
      </c>
      <c r="R147" s="749">
        <f t="shared" si="130"/>
        <v>100</v>
      </c>
    </row>
    <row r="148" spans="1:18" s="65" customFormat="1" ht="21" hidden="1" x14ac:dyDescent="0.25">
      <c r="A148" s="465"/>
      <c r="B148" s="346"/>
      <c r="C148" s="346"/>
      <c r="D148" s="346"/>
      <c r="E148" s="346"/>
      <c r="F148" s="346"/>
      <c r="G148" s="346"/>
      <c r="H148" s="608">
        <v>36</v>
      </c>
      <c r="I148" s="67" t="s">
        <v>136</v>
      </c>
      <c r="J148" s="68">
        <f t="shared" ref="J148:Q148" si="131">SUM(J149)</f>
        <v>0</v>
      </c>
      <c r="K148" s="68">
        <f t="shared" si="131"/>
        <v>15000</v>
      </c>
      <c r="L148" s="68">
        <f t="shared" si="131"/>
        <v>50000</v>
      </c>
      <c r="M148" s="68" t="e">
        <f t="shared" si="131"/>
        <v>#REF!</v>
      </c>
      <c r="N148" s="68" t="e">
        <f t="shared" si="131"/>
        <v>#REF!</v>
      </c>
      <c r="O148" s="68">
        <f t="shared" si="131"/>
        <v>0</v>
      </c>
      <c r="P148" s="68">
        <f t="shared" si="131"/>
        <v>0</v>
      </c>
      <c r="Q148" s="68">
        <f t="shared" si="131"/>
        <v>0</v>
      </c>
      <c r="R148" s="758" t="e">
        <f>P148/O148*100</f>
        <v>#DIV/0!</v>
      </c>
    </row>
    <row r="149" spans="1:18" s="1" customFormat="1" hidden="1" x14ac:dyDescent="0.25">
      <c r="A149" s="464"/>
      <c r="B149" s="336"/>
      <c r="C149" s="336"/>
      <c r="D149" s="336" t="s">
        <v>366</v>
      </c>
      <c r="E149" s="336" t="s">
        <v>367</v>
      </c>
      <c r="F149" s="336"/>
      <c r="G149" s="336"/>
      <c r="H149" s="608">
        <v>363</v>
      </c>
      <c r="I149" s="8" t="s">
        <v>139</v>
      </c>
      <c r="J149" s="12">
        <f t="shared" ref="J149:O149" si="132">SUM(J150:J151)</f>
        <v>0</v>
      </c>
      <c r="K149" s="12">
        <f t="shared" si="132"/>
        <v>15000</v>
      </c>
      <c r="L149" s="12">
        <f t="shared" si="132"/>
        <v>50000</v>
      </c>
      <c r="M149" s="12" t="e">
        <f t="shared" si="132"/>
        <v>#REF!</v>
      </c>
      <c r="N149" s="12" t="e">
        <f t="shared" si="132"/>
        <v>#REF!</v>
      </c>
      <c r="O149" s="12">
        <f t="shared" si="132"/>
        <v>0</v>
      </c>
      <c r="P149" s="12">
        <f t="shared" ref="P149:Q149" si="133">SUM(P150:P151)</f>
        <v>0</v>
      </c>
      <c r="Q149" s="12">
        <f t="shared" si="133"/>
        <v>0</v>
      </c>
      <c r="R149" s="749" t="e">
        <f>P149/O149*100</f>
        <v>#DIV/0!</v>
      </c>
    </row>
    <row r="150" spans="1:18" hidden="1" x14ac:dyDescent="0.25">
      <c r="A150" s="464"/>
      <c r="B150" s="336"/>
      <c r="C150" s="336"/>
      <c r="D150" s="336"/>
      <c r="E150" s="336"/>
      <c r="F150" s="336"/>
      <c r="G150" s="336"/>
      <c r="H150" s="609">
        <v>3631</v>
      </c>
      <c r="I150" s="15" t="s">
        <v>138</v>
      </c>
      <c r="J150" s="16">
        <v>0</v>
      </c>
      <c r="K150" s="16">
        <v>5000</v>
      </c>
      <c r="L150" s="16">
        <v>40000</v>
      </c>
      <c r="M150" s="16" t="e">
        <f>Posebni!#REF!</f>
        <v>#REF!</v>
      </c>
      <c r="N150" s="16" t="e">
        <f>Posebni!#REF!</f>
        <v>#REF!</v>
      </c>
      <c r="O150" s="16">
        <v>0</v>
      </c>
      <c r="P150" s="16">
        <v>0</v>
      </c>
      <c r="Q150" s="16">
        <v>0</v>
      </c>
      <c r="R150" s="749">
        <v>0</v>
      </c>
    </row>
    <row r="151" spans="1:18" hidden="1" x14ac:dyDescent="0.25">
      <c r="A151" s="464"/>
      <c r="B151" s="336"/>
      <c r="C151" s="336"/>
      <c r="D151" s="336"/>
      <c r="E151" s="336"/>
      <c r="F151" s="336"/>
      <c r="G151" s="336"/>
      <c r="H151" s="609">
        <v>3632</v>
      </c>
      <c r="I151" s="15" t="s">
        <v>137</v>
      </c>
      <c r="J151" s="16">
        <v>0</v>
      </c>
      <c r="K151" s="16">
        <v>10000</v>
      </c>
      <c r="L151" s="16">
        <v>10000</v>
      </c>
      <c r="M151" s="16" t="e">
        <f>Posebni!F198+Posebni!#REF!</f>
        <v>#REF!</v>
      </c>
      <c r="N151" s="16" t="e">
        <f>Posebni!G198+Posebni!#REF!</f>
        <v>#REF!</v>
      </c>
      <c r="O151" s="16">
        <v>0</v>
      </c>
      <c r="P151" s="16">
        <v>0</v>
      </c>
      <c r="Q151" s="16">
        <v>0</v>
      </c>
      <c r="R151" s="749" t="e">
        <f>P151/O151*100</f>
        <v>#DIV/0!</v>
      </c>
    </row>
    <row r="152" spans="1:18" s="65" customFormat="1" ht="21" x14ac:dyDescent="0.25">
      <c r="A152" s="465"/>
      <c r="B152" s="346"/>
      <c r="C152" s="346"/>
      <c r="D152" s="346"/>
      <c r="E152" s="346"/>
      <c r="F152" s="346"/>
      <c r="G152" s="346"/>
      <c r="H152" s="66">
        <v>37</v>
      </c>
      <c r="I152" s="67" t="s">
        <v>140</v>
      </c>
      <c r="J152" s="68">
        <f t="shared" ref="J152:Q152" si="134">SUM(J153)</f>
        <v>422126</v>
      </c>
      <c r="K152" s="68">
        <f t="shared" si="134"/>
        <v>340000</v>
      </c>
      <c r="L152" s="68">
        <f t="shared" si="134"/>
        <v>453000</v>
      </c>
      <c r="M152" s="68" t="e">
        <f t="shared" si="134"/>
        <v>#REF!</v>
      </c>
      <c r="N152" s="68" t="e">
        <f t="shared" si="134"/>
        <v>#REF!</v>
      </c>
      <c r="O152" s="68">
        <f t="shared" si="134"/>
        <v>343500</v>
      </c>
      <c r="P152" s="68">
        <f t="shared" si="134"/>
        <v>24000</v>
      </c>
      <c r="Q152" s="68">
        <f t="shared" si="134"/>
        <v>367500</v>
      </c>
      <c r="R152" s="755">
        <f>Q152/O152*100</f>
        <v>106.98689956331877</v>
      </c>
    </row>
    <row r="153" spans="1:18" s="1" customFormat="1" x14ac:dyDescent="0.25">
      <c r="A153" s="464"/>
      <c r="B153" s="336"/>
      <c r="C153" s="336"/>
      <c r="D153" s="336"/>
      <c r="E153" s="336"/>
      <c r="F153" s="336"/>
      <c r="G153" s="336"/>
      <c r="H153" s="23">
        <v>372</v>
      </c>
      <c r="I153" s="8" t="s">
        <v>158</v>
      </c>
      <c r="J153" s="12">
        <f t="shared" ref="J153:O153" si="135">SUM(J154:J155)</f>
        <v>422126</v>
      </c>
      <c r="K153" s="12">
        <f t="shared" si="135"/>
        <v>340000</v>
      </c>
      <c r="L153" s="12">
        <f t="shared" si="135"/>
        <v>453000</v>
      </c>
      <c r="M153" s="12" t="e">
        <f t="shared" si="135"/>
        <v>#REF!</v>
      </c>
      <c r="N153" s="12" t="e">
        <f t="shared" si="135"/>
        <v>#REF!</v>
      </c>
      <c r="O153" s="12">
        <f t="shared" si="135"/>
        <v>343500</v>
      </c>
      <c r="P153" s="12">
        <f t="shared" ref="P153:Q153" si="136">SUM(P154:P155)</f>
        <v>24000</v>
      </c>
      <c r="Q153" s="12">
        <f t="shared" si="136"/>
        <v>367500</v>
      </c>
      <c r="R153" s="756">
        <f>Q153/O153*100</f>
        <v>106.98689956331877</v>
      </c>
    </row>
    <row r="154" spans="1:18" x14ac:dyDescent="0.25">
      <c r="A154" s="464"/>
      <c r="B154" s="336"/>
      <c r="C154" s="336"/>
      <c r="D154" s="336"/>
      <c r="E154" s="336"/>
      <c r="F154" s="336"/>
      <c r="G154" s="336"/>
      <c r="H154" s="24">
        <v>3721</v>
      </c>
      <c r="I154" s="15" t="s">
        <v>78</v>
      </c>
      <c r="J154" s="16">
        <v>347075</v>
      </c>
      <c r="K154" s="16">
        <v>320000</v>
      </c>
      <c r="L154" s="16">
        <v>450000</v>
      </c>
      <c r="M154" s="16" t="e">
        <f>Posebni!F157+Posebni!F165+Posebni!F158+Posebni!F166+Posebni!F167+Posebni!#REF!</f>
        <v>#REF!</v>
      </c>
      <c r="N154" s="16" t="e">
        <f>Posebni!G157+Posebni!G165+Posebni!G158+Posebni!G166+Posebni!G167+Posebni!#REF!</f>
        <v>#REF!</v>
      </c>
      <c r="O154" s="16">
        <f>Posebni!H157+Posebni!H165+Posebni!H158+Posebni!H166+Posebni!H167</f>
        <v>85000</v>
      </c>
      <c r="P154" s="16">
        <f>Posebni!I157+Posebni!I165+Posebni!I158+Posebni!I166+Posebni!I167</f>
        <v>23000</v>
      </c>
      <c r="Q154" s="16">
        <f>SUM(O154+P154)</f>
        <v>108000</v>
      </c>
      <c r="R154" s="749">
        <f t="shared" ref="R154:R155" si="137">Q154/O154*100</f>
        <v>127.05882352941175</v>
      </c>
    </row>
    <row r="155" spans="1:18" x14ac:dyDescent="0.25">
      <c r="A155" s="464"/>
      <c r="B155" s="336"/>
      <c r="C155" s="336"/>
      <c r="D155" s="336"/>
      <c r="E155" s="336"/>
      <c r="F155" s="336"/>
      <c r="G155" s="336"/>
      <c r="H155" s="24">
        <v>3722</v>
      </c>
      <c r="I155" s="15" t="s">
        <v>79</v>
      </c>
      <c r="J155" s="16">
        <v>75051</v>
      </c>
      <c r="K155" s="16">
        <v>20000</v>
      </c>
      <c r="L155" s="16">
        <v>3000</v>
      </c>
      <c r="M155" s="16" t="e">
        <f>Posebni!F168+Posebni!#REF!+Posebni!F169+Posebni!F170+Posebni!F171+Posebni!F172+Posebni!F184</f>
        <v>#REF!</v>
      </c>
      <c r="N155" s="16" t="e">
        <f>Posebni!G168+Posebni!#REF!+Posebni!G169+Posebni!G170+Posebni!G171+Posebni!G172+Posebni!G184</f>
        <v>#REF!</v>
      </c>
      <c r="O155" s="16">
        <f>Posebni!H159+Posebni!H168+Posebni!H169+Posebni!H170+Posebni!H171+Posebni!H172+Posebni!H184</f>
        <v>258500</v>
      </c>
      <c r="P155" s="16">
        <f>Posebni!I159+Posebni!I168+Posebni!I169+Posebni!I170+Posebni!I171+Posebni!I172+Posebni!I184</f>
        <v>1000</v>
      </c>
      <c r="Q155" s="16">
        <f>SUM(O155+P155)</f>
        <v>259500</v>
      </c>
      <c r="R155" s="749">
        <f t="shared" si="137"/>
        <v>100.38684719535784</v>
      </c>
    </row>
    <row r="156" spans="1:18" s="65" customFormat="1" x14ac:dyDescent="0.25">
      <c r="A156" s="465"/>
      <c r="B156" s="346"/>
      <c r="C156" s="346"/>
      <c r="D156" s="346"/>
      <c r="E156" s="346"/>
      <c r="F156" s="346"/>
      <c r="G156" s="346"/>
      <c r="H156" s="66">
        <v>38</v>
      </c>
      <c r="I156" s="67" t="s">
        <v>128</v>
      </c>
      <c r="J156" s="68" t="e">
        <f t="shared" ref="J156:O156" si="138">SUM(J157+J160+J162+J164+J167+J169)</f>
        <v>#REF!</v>
      </c>
      <c r="K156" s="68" t="e">
        <f t="shared" si="138"/>
        <v>#REF!</v>
      </c>
      <c r="L156" s="68" t="e">
        <f t="shared" si="138"/>
        <v>#REF!</v>
      </c>
      <c r="M156" s="68">
        <f t="shared" si="138"/>
        <v>1138000</v>
      </c>
      <c r="N156" s="68">
        <f t="shared" si="138"/>
        <v>151038.55597584444</v>
      </c>
      <c r="O156" s="68">
        <f t="shared" si="138"/>
        <v>230200</v>
      </c>
      <c r="P156" s="68">
        <f t="shared" ref="P156:Q156" si="139">SUM(P157+P160+P162+P164+P167+P169)</f>
        <v>12000</v>
      </c>
      <c r="Q156" s="68">
        <f t="shared" si="139"/>
        <v>242200</v>
      </c>
      <c r="R156" s="755">
        <f>Q156/O156*100</f>
        <v>105.21285838401391</v>
      </c>
    </row>
    <row r="157" spans="1:18" s="1" customFormat="1" x14ac:dyDescent="0.25">
      <c r="A157" s="464"/>
      <c r="B157" s="336"/>
      <c r="C157" s="336"/>
      <c r="D157" s="336"/>
      <c r="E157" s="336"/>
      <c r="F157" s="336"/>
      <c r="G157" s="336"/>
      <c r="H157" s="23">
        <v>381</v>
      </c>
      <c r="I157" s="8" t="s">
        <v>37</v>
      </c>
      <c r="J157" s="12" t="e">
        <f t="shared" ref="J157:O157" si="140">SUM(J158+J159)</f>
        <v>#REF!</v>
      </c>
      <c r="K157" s="12" t="e">
        <f t="shared" si="140"/>
        <v>#REF!</v>
      </c>
      <c r="L157" s="12" t="e">
        <f t="shared" si="140"/>
        <v>#REF!</v>
      </c>
      <c r="M157" s="12">
        <f t="shared" si="140"/>
        <v>893000</v>
      </c>
      <c r="N157" s="12">
        <f t="shared" si="140"/>
        <v>118521.46791426107</v>
      </c>
      <c r="O157" s="12">
        <f t="shared" si="140"/>
        <v>162200</v>
      </c>
      <c r="P157" s="12">
        <f t="shared" ref="P157:Q157" si="141">SUM(P158+P159)</f>
        <v>2000</v>
      </c>
      <c r="Q157" s="12">
        <f t="shared" si="141"/>
        <v>164200</v>
      </c>
      <c r="R157" s="756">
        <f>Q157/O157*100</f>
        <v>101.23304562268804</v>
      </c>
    </row>
    <row r="158" spans="1:18" s="40" customFormat="1" x14ac:dyDescent="0.25">
      <c r="A158" s="464"/>
      <c r="B158" s="336"/>
      <c r="C158" s="336"/>
      <c r="D158" s="336"/>
      <c r="E158" s="336"/>
      <c r="F158" s="336"/>
      <c r="G158" s="336"/>
      <c r="H158" s="26">
        <v>3811</v>
      </c>
      <c r="I158" s="10" t="s">
        <v>81</v>
      </c>
      <c r="J158" s="11" t="e">
        <f>SUM(#REF!)</f>
        <v>#REF!</v>
      </c>
      <c r="K158" s="11" t="e">
        <f>SUM(#REF!)</f>
        <v>#REF!</v>
      </c>
      <c r="L158" s="11" t="e">
        <f>SUM(#REF!)</f>
        <v>#REF!</v>
      </c>
      <c r="M158" s="11">
        <f>Posebni!F107+Posebni!F134+Posebni!F142+Posebni!F178+Posebni!F211+Posebni!F223+Posebni!F244+Posebni!F251+Posebni!F268+Posebni!F277+Posebni!F283</f>
        <v>868000</v>
      </c>
      <c r="N158" s="11">
        <f>Posebni!G107+Posebni!G134+Posebni!G142+Posebni!G178+Posebni!G211+Posebni!G223+Posebni!G244+Posebni!G251+Posebni!G268+Posebni!G277+Posebni!G283</f>
        <v>115203.39770389542</v>
      </c>
      <c r="O158" s="16">
        <f>Posebni!H105+Posebni!H134+Posebni!H142+Posebni!H149+Posebni!H178+Posebni!H210+Posebni!H223+Posebni!H244+Posebni!H251+Posebni!H268+Posebni!H277+Posebni!H283+Posebni!H198</f>
        <v>158700</v>
      </c>
      <c r="P158" s="16">
        <f>Posebni!I105+Posebni!I134+Posebni!I142+Posebni!I149+Posebni!I178+Posebni!I210+Posebni!I223+Posebni!I244+Posebni!I251+Posebni!I268+Posebni!I277+Posebni!I283+Posebni!I198</f>
        <v>2000</v>
      </c>
      <c r="Q158" s="16">
        <f>SUM(O158+P158)</f>
        <v>160700</v>
      </c>
      <c r="R158" s="749">
        <f t="shared" ref="R158:R170" si="142">Q158/O158*100</f>
        <v>101.26023944549465</v>
      </c>
    </row>
    <row r="159" spans="1:18" s="40" customFormat="1" x14ac:dyDescent="0.25">
      <c r="A159" s="464"/>
      <c r="B159" s="336"/>
      <c r="C159" s="336"/>
      <c r="D159" s="336"/>
      <c r="E159" s="336"/>
      <c r="F159" s="336"/>
      <c r="G159" s="336"/>
      <c r="H159" s="26">
        <v>3812</v>
      </c>
      <c r="I159" s="10" t="s">
        <v>86</v>
      </c>
      <c r="J159" s="11">
        <v>4698</v>
      </c>
      <c r="K159" s="11">
        <v>5000</v>
      </c>
      <c r="L159" s="11">
        <v>5000</v>
      </c>
      <c r="M159" s="11">
        <f>Posebni!F135</f>
        <v>25000</v>
      </c>
      <c r="N159" s="11">
        <f>Posebni!G135</f>
        <v>3318.0702103656513</v>
      </c>
      <c r="O159" s="16">
        <f>Posebni!H135</f>
        <v>3500</v>
      </c>
      <c r="P159" s="16">
        <f>Posebni!I135</f>
        <v>0</v>
      </c>
      <c r="Q159" s="16">
        <f>SUM(O159+P159)</f>
        <v>3500</v>
      </c>
      <c r="R159" s="749">
        <f t="shared" si="142"/>
        <v>100</v>
      </c>
    </row>
    <row r="160" spans="1:18" s="1" customFormat="1" x14ac:dyDescent="0.25">
      <c r="A160" s="464"/>
      <c r="B160" s="336"/>
      <c r="C160" s="336"/>
      <c r="D160" s="336"/>
      <c r="E160" s="336"/>
      <c r="F160" s="336"/>
      <c r="G160" s="336"/>
      <c r="H160" s="23">
        <v>382</v>
      </c>
      <c r="I160" s="8" t="s">
        <v>38</v>
      </c>
      <c r="J160" s="12">
        <f t="shared" ref="J160:Q160" si="143">SUM(J161:J161)</f>
        <v>65000</v>
      </c>
      <c r="K160" s="12">
        <f t="shared" si="143"/>
        <v>100000</v>
      </c>
      <c r="L160" s="12">
        <f t="shared" si="143"/>
        <v>116000</v>
      </c>
      <c r="M160" s="12">
        <f t="shared" si="143"/>
        <v>25000</v>
      </c>
      <c r="N160" s="12">
        <f t="shared" si="143"/>
        <v>3318.0702103656513</v>
      </c>
      <c r="O160" s="12">
        <f t="shared" si="143"/>
        <v>35000</v>
      </c>
      <c r="P160" s="12">
        <f t="shared" si="143"/>
        <v>10000</v>
      </c>
      <c r="Q160" s="12">
        <f t="shared" si="143"/>
        <v>45000</v>
      </c>
      <c r="R160" s="756">
        <f t="shared" si="142"/>
        <v>128.57142857142858</v>
      </c>
    </row>
    <row r="161" spans="1:18" x14ac:dyDescent="0.25">
      <c r="A161" s="464"/>
      <c r="B161" s="336"/>
      <c r="C161" s="336"/>
      <c r="D161" s="336"/>
      <c r="E161" s="336"/>
      <c r="F161" s="336"/>
      <c r="G161" s="336"/>
      <c r="H161" s="24">
        <v>3821</v>
      </c>
      <c r="I161" s="15" t="s">
        <v>87</v>
      </c>
      <c r="J161" s="16">
        <v>65000</v>
      </c>
      <c r="K161" s="16">
        <v>100000</v>
      </c>
      <c r="L161" s="16">
        <v>116000</v>
      </c>
      <c r="M161" s="16">
        <f>Posebni!F270</f>
        <v>25000</v>
      </c>
      <c r="N161" s="16">
        <f>Posebni!G270</f>
        <v>3318.0702103656513</v>
      </c>
      <c r="O161" s="16">
        <f>Posebni!H270</f>
        <v>35000</v>
      </c>
      <c r="P161" s="16">
        <f>Posebni!I270</f>
        <v>10000</v>
      </c>
      <c r="Q161" s="16">
        <f>SUM(O161+P161)</f>
        <v>45000</v>
      </c>
      <c r="R161" s="749">
        <f t="shared" si="142"/>
        <v>128.57142857142858</v>
      </c>
    </row>
    <row r="162" spans="1:18" s="1" customFormat="1" x14ac:dyDescent="0.25">
      <c r="A162" s="464"/>
      <c r="B162" s="336"/>
      <c r="C162" s="336"/>
      <c r="D162" s="336"/>
      <c r="E162" s="336" t="s">
        <v>367</v>
      </c>
      <c r="F162" s="336"/>
      <c r="G162" s="336"/>
      <c r="H162" s="23">
        <v>383</v>
      </c>
      <c r="I162" s="8" t="s">
        <v>89</v>
      </c>
      <c r="J162" s="12">
        <f t="shared" ref="J162:Q162" si="144">SUM(J163)</f>
        <v>0</v>
      </c>
      <c r="K162" s="12">
        <f t="shared" si="144"/>
        <v>10000</v>
      </c>
      <c r="L162" s="12">
        <f t="shared" si="144"/>
        <v>121000</v>
      </c>
      <c r="M162" s="12">
        <f t="shared" si="144"/>
        <v>20000</v>
      </c>
      <c r="N162" s="12">
        <f t="shared" si="144"/>
        <v>2654.4561682925209</v>
      </c>
      <c r="O162" s="12">
        <f t="shared" si="144"/>
        <v>3000</v>
      </c>
      <c r="P162" s="12">
        <f t="shared" si="144"/>
        <v>0</v>
      </c>
      <c r="Q162" s="12">
        <f t="shared" si="144"/>
        <v>3000</v>
      </c>
      <c r="R162" s="756">
        <f t="shared" si="142"/>
        <v>100</v>
      </c>
    </row>
    <row r="163" spans="1:18" x14ac:dyDescent="0.25">
      <c r="A163" s="464"/>
      <c r="B163" s="336"/>
      <c r="C163" s="336"/>
      <c r="D163" s="336"/>
      <c r="E163" s="336"/>
      <c r="F163" s="336"/>
      <c r="G163" s="336"/>
      <c r="H163" s="24">
        <v>3831</v>
      </c>
      <c r="I163" s="15" t="s">
        <v>90</v>
      </c>
      <c r="J163" s="16">
        <v>0</v>
      </c>
      <c r="K163" s="16">
        <v>10000</v>
      </c>
      <c r="L163" s="16">
        <v>121000</v>
      </c>
      <c r="M163" s="16">
        <f>Posebni!F84</f>
        <v>20000</v>
      </c>
      <c r="N163" s="16">
        <f>Posebni!G84</f>
        <v>2654.4561682925209</v>
      </c>
      <c r="O163" s="16">
        <f>Posebni!H84</f>
        <v>3000</v>
      </c>
      <c r="P163" s="16">
        <f>Posebni!I84</f>
        <v>0</v>
      </c>
      <c r="Q163" s="16">
        <f>SUM(O163+P163)</f>
        <v>3000</v>
      </c>
      <c r="R163" s="749">
        <f t="shared" si="142"/>
        <v>100</v>
      </c>
    </row>
    <row r="164" spans="1:18" s="1" customFormat="1" x14ac:dyDescent="0.25">
      <c r="A164" s="466"/>
      <c r="B164" s="340"/>
      <c r="C164" s="340"/>
      <c r="D164" s="340"/>
      <c r="E164" s="340"/>
      <c r="F164" s="340"/>
      <c r="G164" s="340"/>
      <c r="H164" s="323">
        <v>384</v>
      </c>
      <c r="I164" s="324" t="s">
        <v>91</v>
      </c>
      <c r="J164" s="325">
        <f t="shared" ref="J164:O164" si="145">SUM(J165:J166)</f>
        <v>0</v>
      </c>
      <c r="K164" s="325">
        <f t="shared" si="145"/>
        <v>0</v>
      </c>
      <c r="L164" s="325">
        <f t="shared" si="145"/>
        <v>0</v>
      </c>
      <c r="M164" s="325">
        <f t="shared" si="145"/>
        <v>0</v>
      </c>
      <c r="N164" s="325">
        <f t="shared" si="145"/>
        <v>0</v>
      </c>
      <c r="O164" s="325">
        <f t="shared" si="145"/>
        <v>0</v>
      </c>
      <c r="P164" s="325">
        <f t="shared" ref="P164:Q164" si="146">SUM(P165:P166)</f>
        <v>0</v>
      </c>
      <c r="Q164" s="325">
        <f t="shared" si="146"/>
        <v>0</v>
      </c>
      <c r="R164" s="756" t="e">
        <f t="shared" si="142"/>
        <v>#DIV/0!</v>
      </c>
    </row>
    <row r="165" spans="1:18" x14ac:dyDescent="0.25">
      <c r="A165" s="464"/>
      <c r="B165" s="336"/>
      <c r="C165" s="336"/>
      <c r="D165" s="336"/>
      <c r="E165" s="336"/>
      <c r="F165" s="336"/>
      <c r="G165" s="336"/>
      <c r="H165" s="24">
        <v>3841</v>
      </c>
      <c r="I165" s="15" t="s">
        <v>92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f>SUM(O165+P165)</f>
        <v>0</v>
      </c>
      <c r="R165" s="749" t="e">
        <f t="shared" si="142"/>
        <v>#DIV/0!</v>
      </c>
    </row>
    <row r="166" spans="1:18" x14ac:dyDescent="0.25">
      <c r="A166" s="464"/>
      <c r="B166" s="336"/>
      <c r="C166" s="336"/>
      <c r="D166" s="336"/>
      <c r="E166" s="336"/>
      <c r="F166" s="336"/>
      <c r="G166" s="336"/>
      <c r="H166" s="24">
        <v>3842</v>
      </c>
      <c r="I166" s="15" t="s">
        <v>93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f>SUM(O166+P166)</f>
        <v>0</v>
      </c>
      <c r="R166" s="749" t="e">
        <f t="shared" si="142"/>
        <v>#DIV/0!</v>
      </c>
    </row>
    <row r="167" spans="1:18" s="1" customFormat="1" x14ac:dyDescent="0.25">
      <c r="A167" s="464"/>
      <c r="B167" s="336"/>
      <c r="C167" s="336"/>
      <c r="D167" s="336"/>
      <c r="E167" s="336"/>
      <c r="F167" s="336"/>
      <c r="G167" s="336"/>
      <c r="H167" s="23">
        <v>385</v>
      </c>
      <c r="I167" s="8" t="s">
        <v>94</v>
      </c>
      <c r="J167" s="12">
        <f t="shared" ref="J167:Q167" si="147">SUM(J168)</f>
        <v>0</v>
      </c>
      <c r="K167" s="12">
        <f t="shared" si="147"/>
        <v>10000</v>
      </c>
      <c r="L167" s="12">
        <f t="shared" si="147"/>
        <v>10000</v>
      </c>
      <c r="M167" s="12">
        <f t="shared" si="147"/>
        <v>0</v>
      </c>
      <c r="N167" s="12">
        <f t="shared" si="147"/>
        <v>0</v>
      </c>
      <c r="O167" s="12">
        <f t="shared" si="147"/>
        <v>0</v>
      </c>
      <c r="P167" s="12">
        <f t="shared" si="147"/>
        <v>0</v>
      </c>
      <c r="Q167" s="12">
        <f t="shared" si="147"/>
        <v>0</v>
      </c>
      <c r="R167" s="756" t="e">
        <f t="shared" si="142"/>
        <v>#DIV/0!</v>
      </c>
    </row>
    <row r="168" spans="1:18" x14ac:dyDescent="0.25">
      <c r="A168" s="464"/>
      <c r="B168" s="336"/>
      <c r="C168" s="336"/>
      <c r="D168" s="336"/>
      <c r="E168" s="336"/>
      <c r="F168" s="336"/>
      <c r="G168" s="336"/>
      <c r="H168" s="24">
        <v>3851</v>
      </c>
      <c r="I168" s="15" t="s">
        <v>159</v>
      </c>
      <c r="J168" s="16">
        <v>0</v>
      </c>
      <c r="K168" s="16">
        <v>10000</v>
      </c>
      <c r="L168" s="16">
        <v>10000</v>
      </c>
      <c r="M168" s="16">
        <v>0</v>
      </c>
      <c r="N168" s="16">
        <v>0</v>
      </c>
      <c r="O168" s="16">
        <v>0</v>
      </c>
      <c r="P168" s="16">
        <v>0</v>
      </c>
      <c r="Q168" s="16">
        <f>SUM(O168+P168)</f>
        <v>0</v>
      </c>
      <c r="R168" s="749" t="e">
        <f t="shared" si="142"/>
        <v>#DIV/0!</v>
      </c>
    </row>
    <row r="169" spans="1:18" x14ac:dyDescent="0.25">
      <c r="A169" s="464"/>
      <c r="B169" s="336"/>
      <c r="C169" s="336"/>
      <c r="D169" s="336" t="s">
        <v>366</v>
      </c>
      <c r="E169" s="336"/>
      <c r="F169" s="336"/>
      <c r="G169" s="336"/>
      <c r="H169" s="27">
        <v>386</v>
      </c>
      <c r="I169" s="9" t="s">
        <v>127</v>
      </c>
      <c r="J169" s="12">
        <f t="shared" ref="J169:Q169" si="148">SUM(J170)</f>
        <v>0</v>
      </c>
      <c r="K169" s="12">
        <f t="shared" si="148"/>
        <v>10000</v>
      </c>
      <c r="L169" s="12">
        <f t="shared" si="148"/>
        <v>50000</v>
      </c>
      <c r="M169" s="12">
        <f t="shared" si="148"/>
        <v>200000</v>
      </c>
      <c r="N169" s="12">
        <f t="shared" si="148"/>
        <v>26544.56168292521</v>
      </c>
      <c r="O169" s="12">
        <f t="shared" si="148"/>
        <v>30000</v>
      </c>
      <c r="P169" s="12">
        <f t="shared" si="148"/>
        <v>0</v>
      </c>
      <c r="Q169" s="12">
        <f t="shared" si="148"/>
        <v>30000</v>
      </c>
      <c r="R169" s="756">
        <f t="shared" si="142"/>
        <v>100</v>
      </c>
    </row>
    <row r="170" spans="1:18" x14ac:dyDescent="0.25">
      <c r="A170" s="464"/>
      <c r="B170" s="336"/>
      <c r="C170" s="336"/>
      <c r="D170" s="336"/>
      <c r="E170" s="336"/>
      <c r="F170" s="336"/>
      <c r="G170" s="336"/>
      <c r="H170" s="24">
        <v>3861</v>
      </c>
      <c r="I170" s="15" t="s">
        <v>486</v>
      </c>
      <c r="J170" s="16">
        <v>0</v>
      </c>
      <c r="K170" s="16">
        <v>10000</v>
      </c>
      <c r="L170" s="16">
        <v>50000</v>
      </c>
      <c r="M170" s="16">
        <f>Posebni!F413+Posebni!F414</f>
        <v>200000</v>
      </c>
      <c r="N170" s="16">
        <f>Posebni!G413+Posebni!G414</f>
        <v>26544.56168292521</v>
      </c>
      <c r="O170" s="16">
        <f>Posebni!H413+Posebni!H414</f>
        <v>30000</v>
      </c>
      <c r="P170" s="16">
        <f>Posebni!I413+Posebni!I414</f>
        <v>0</v>
      </c>
      <c r="Q170" s="16">
        <f>SUM(O170+P170)</f>
        <v>30000</v>
      </c>
      <c r="R170" s="749">
        <f t="shared" si="142"/>
        <v>100</v>
      </c>
    </row>
    <row r="171" spans="1:18" s="48" customFormat="1" ht="13.8" thickBot="1" x14ac:dyDescent="0.3">
      <c r="A171" s="468"/>
      <c r="B171" s="347"/>
      <c r="C171" s="347"/>
      <c r="D171" s="347"/>
      <c r="E171" s="347"/>
      <c r="F171" s="347"/>
      <c r="G171" s="347"/>
      <c r="H171" s="49">
        <v>4</v>
      </c>
      <c r="I171" s="50" t="s">
        <v>4</v>
      </c>
      <c r="J171" s="51" t="e">
        <f t="shared" ref="J171:L171" si="149">SUM(J172+J175+J190)</f>
        <v>#REF!</v>
      </c>
      <c r="K171" s="51" t="e">
        <f t="shared" si="149"/>
        <v>#REF!</v>
      </c>
      <c r="L171" s="51" t="e">
        <f t="shared" si="149"/>
        <v>#REF!</v>
      </c>
      <c r="M171" s="51" t="e">
        <f t="shared" ref="M171:Q171" si="150">SUM(M172+M175+M190)</f>
        <v>#REF!</v>
      </c>
      <c r="N171" s="51" t="e">
        <f t="shared" si="150"/>
        <v>#REF!</v>
      </c>
      <c r="O171" s="51">
        <f t="shared" si="150"/>
        <v>1923760</v>
      </c>
      <c r="P171" s="51">
        <f t="shared" si="150"/>
        <v>54600</v>
      </c>
      <c r="Q171" s="51">
        <f t="shared" si="150"/>
        <v>1978360</v>
      </c>
      <c r="R171" s="757">
        <f t="shared" ref="R171:R176" si="151">Q171/O171*100</f>
        <v>102.83819187424628</v>
      </c>
    </row>
    <row r="172" spans="1:18" s="65" customFormat="1" x14ac:dyDescent="0.25">
      <c r="A172" s="463"/>
      <c r="B172" s="345"/>
      <c r="C172" s="345"/>
      <c r="D172" s="345"/>
      <c r="E172" s="345"/>
      <c r="F172" s="345"/>
      <c r="G172" s="345"/>
      <c r="H172" s="62">
        <v>41</v>
      </c>
      <c r="I172" s="69" t="s">
        <v>160</v>
      </c>
      <c r="J172" s="64">
        <f t="shared" ref="J172:Q173" si="152">SUM(J173)</f>
        <v>0</v>
      </c>
      <c r="K172" s="64">
        <f t="shared" si="152"/>
        <v>70000</v>
      </c>
      <c r="L172" s="64">
        <f t="shared" si="152"/>
        <v>0</v>
      </c>
      <c r="M172" s="64">
        <f t="shared" si="152"/>
        <v>100000</v>
      </c>
      <c r="N172" s="64">
        <f t="shared" si="152"/>
        <v>13272.280841462605</v>
      </c>
      <c r="O172" s="64">
        <f t="shared" si="152"/>
        <v>113500</v>
      </c>
      <c r="P172" s="64">
        <f t="shared" si="152"/>
        <v>5000</v>
      </c>
      <c r="Q172" s="64">
        <f t="shared" si="152"/>
        <v>118500</v>
      </c>
      <c r="R172" s="755">
        <f t="shared" si="151"/>
        <v>104.40528634361232</v>
      </c>
    </row>
    <row r="173" spans="1:18" s="1" customFormat="1" x14ac:dyDescent="0.25">
      <c r="A173" s="464"/>
      <c r="B173" s="336"/>
      <c r="C173" s="336"/>
      <c r="D173" s="336"/>
      <c r="E173" s="336"/>
      <c r="F173" s="336" t="s">
        <v>368</v>
      </c>
      <c r="G173" s="336"/>
      <c r="H173" s="23">
        <v>411</v>
      </c>
      <c r="I173" s="8" t="s">
        <v>95</v>
      </c>
      <c r="J173" s="12">
        <f t="shared" si="152"/>
        <v>0</v>
      </c>
      <c r="K173" s="12">
        <f t="shared" si="152"/>
        <v>70000</v>
      </c>
      <c r="L173" s="12">
        <f t="shared" si="152"/>
        <v>0</v>
      </c>
      <c r="M173" s="12">
        <f t="shared" si="152"/>
        <v>100000</v>
      </c>
      <c r="N173" s="12">
        <f t="shared" si="152"/>
        <v>13272.280841462605</v>
      </c>
      <c r="O173" s="12">
        <f t="shared" si="152"/>
        <v>113500</v>
      </c>
      <c r="P173" s="12">
        <f t="shared" si="152"/>
        <v>5000</v>
      </c>
      <c r="Q173" s="12">
        <f t="shared" si="152"/>
        <v>118500</v>
      </c>
      <c r="R173" s="749">
        <f t="shared" si="151"/>
        <v>104.40528634361232</v>
      </c>
    </row>
    <row r="174" spans="1:18" x14ac:dyDescent="0.25">
      <c r="A174" s="464"/>
      <c r="B174" s="336"/>
      <c r="C174" s="336"/>
      <c r="D174" s="336"/>
      <c r="E174" s="336"/>
      <c r="F174" s="336"/>
      <c r="G174" s="336"/>
      <c r="H174" s="24">
        <v>4111</v>
      </c>
      <c r="I174" s="15" t="s">
        <v>40</v>
      </c>
      <c r="J174" s="16">
        <v>0</v>
      </c>
      <c r="K174" s="16">
        <v>70000</v>
      </c>
      <c r="L174" s="16">
        <v>0</v>
      </c>
      <c r="M174" s="16">
        <f>Posebni!F391</f>
        <v>100000</v>
      </c>
      <c r="N174" s="16">
        <f>Posebni!G391</f>
        <v>13272.280841462605</v>
      </c>
      <c r="O174" s="16">
        <f>Posebni!H391+Posebni!H443</f>
        <v>113500</v>
      </c>
      <c r="P174" s="16">
        <f>Posebni!I391+Posebni!I443</f>
        <v>5000</v>
      </c>
      <c r="Q174" s="16">
        <f>SUM(O174+P174)</f>
        <v>118500</v>
      </c>
      <c r="R174" s="749">
        <f t="shared" si="151"/>
        <v>104.40528634361232</v>
      </c>
    </row>
    <row r="175" spans="1:18" s="65" customFormat="1" x14ac:dyDescent="0.25">
      <c r="A175" s="465"/>
      <c r="B175" s="346"/>
      <c r="C175" s="346"/>
      <c r="D175" s="346"/>
      <c r="E175" s="346"/>
      <c r="F175" s="346"/>
      <c r="G175" s="346"/>
      <c r="H175" s="66">
        <v>42</v>
      </c>
      <c r="I175" s="70" t="s">
        <v>161</v>
      </c>
      <c r="J175" s="68" t="e">
        <f>SUM(J176+J180+#REF!+#REF!+J186)</f>
        <v>#REF!</v>
      </c>
      <c r="K175" s="68" t="e">
        <f>SUM(K176+K180+#REF!+K186)</f>
        <v>#REF!</v>
      </c>
      <c r="L175" s="68" t="e">
        <f>SUM(L176+L180+#REF!+L186)</f>
        <v>#REF!</v>
      </c>
      <c r="M175" s="68" t="e">
        <f t="shared" ref="M175:Q175" si="153">SUM(M176+M180+M186)</f>
        <v>#REF!</v>
      </c>
      <c r="N175" s="68" t="e">
        <f t="shared" si="153"/>
        <v>#REF!</v>
      </c>
      <c r="O175" s="68">
        <f t="shared" si="153"/>
        <v>1744760</v>
      </c>
      <c r="P175" s="68">
        <f t="shared" si="153"/>
        <v>29600</v>
      </c>
      <c r="Q175" s="68">
        <f t="shared" si="153"/>
        <v>1774360</v>
      </c>
      <c r="R175" s="755">
        <f t="shared" si="151"/>
        <v>101.69650840230176</v>
      </c>
    </row>
    <row r="176" spans="1:18" s="1" customFormat="1" x14ac:dyDescent="0.25">
      <c r="A176" s="464"/>
      <c r="B176" s="336"/>
      <c r="C176" s="336" t="s">
        <v>365</v>
      </c>
      <c r="D176" s="336" t="s">
        <v>366</v>
      </c>
      <c r="E176" s="336"/>
      <c r="F176" s="336"/>
      <c r="G176" s="336"/>
      <c r="H176" s="23">
        <v>421</v>
      </c>
      <c r="I176" s="8" t="s">
        <v>97</v>
      </c>
      <c r="J176" s="12">
        <f t="shared" ref="J176:O176" si="154">SUM(J177:J179)</f>
        <v>3570032</v>
      </c>
      <c r="K176" s="12">
        <f t="shared" si="154"/>
        <v>1450000</v>
      </c>
      <c r="L176" s="12">
        <f t="shared" si="154"/>
        <v>190000</v>
      </c>
      <c r="M176" s="12" t="e">
        <f t="shared" si="154"/>
        <v>#REF!</v>
      </c>
      <c r="N176" s="12" t="e">
        <f t="shared" si="154"/>
        <v>#REF!</v>
      </c>
      <c r="O176" s="12">
        <f t="shared" si="154"/>
        <v>1634760</v>
      </c>
      <c r="P176" s="12">
        <f t="shared" ref="P176:Q176" si="155">SUM(P177:P179)</f>
        <v>25600</v>
      </c>
      <c r="Q176" s="12">
        <f t="shared" si="155"/>
        <v>1660360</v>
      </c>
      <c r="R176" s="756">
        <f t="shared" si="151"/>
        <v>101.56597910396634</v>
      </c>
    </row>
    <row r="177" spans="1:18" x14ac:dyDescent="0.25">
      <c r="A177" s="464"/>
      <c r="B177" s="336"/>
      <c r="C177" s="336"/>
      <c r="D177" s="336"/>
      <c r="E177" s="336"/>
      <c r="F177" s="336"/>
      <c r="G177" s="336"/>
      <c r="H177" s="24">
        <v>4212</v>
      </c>
      <c r="I177" s="15" t="s">
        <v>98</v>
      </c>
      <c r="J177" s="16">
        <v>700190</v>
      </c>
      <c r="K177" s="16">
        <v>350000</v>
      </c>
      <c r="L177" s="16">
        <v>70000</v>
      </c>
      <c r="M177" s="16" t="e">
        <f>Posebni!#REF!</f>
        <v>#REF!</v>
      </c>
      <c r="N177" s="16" t="e">
        <f>Posebni!#REF!</f>
        <v>#REF!</v>
      </c>
      <c r="O177" s="16">
        <v>0</v>
      </c>
      <c r="P177" s="16">
        <v>0</v>
      </c>
      <c r="Q177" s="16">
        <f>SUM(O177+P177)</f>
        <v>0</v>
      </c>
      <c r="R177" s="749" t="e">
        <f t="shared" ref="R177:R189" si="156">Q177/O177*100</f>
        <v>#DIV/0!</v>
      </c>
    </row>
    <row r="178" spans="1:18" x14ac:dyDescent="0.25">
      <c r="A178" s="464"/>
      <c r="B178" s="336"/>
      <c r="C178" s="336"/>
      <c r="D178" s="336"/>
      <c r="E178" s="336"/>
      <c r="F178" s="336"/>
      <c r="G178" s="336"/>
      <c r="H178" s="24">
        <v>4213</v>
      </c>
      <c r="I178" s="15" t="s">
        <v>141</v>
      </c>
      <c r="J178" s="16">
        <v>2869842</v>
      </c>
      <c r="K178" s="16">
        <v>100000</v>
      </c>
      <c r="L178" s="16">
        <v>100000</v>
      </c>
      <c r="M178" s="16" t="e">
        <f>Posebni!F403+Posebni!F405+Posebni!#REF!+Posebni!#REF!+Posebni!F407</f>
        <v>#REF!</v>
      </c>
      <c r="N178" s="16" t="e">
        <f>Posebni!G403+Posebni!G405+Posebni!#REF!+Posebni!#REF!+Posebni!G407</f>
        <v>#REF!</v>
      </c>
      <c r="O178" s="16">
        <f>Posebni!H403+Posebni!H404+Posebni!H405+Posebni!H406+Posebni!H407</f>
        <v>220000</v>
      </c>
      <c r="P178" s="16">
        <f>Posebni!I403+Posebni!I404+Posebni!I405+Posebni!I406+Posebni!I407</f>
        <v>-74500</v>
      </c>
      <c r="Q178" s="16">
        <f t="shared" ref="Q178" si="157">SUM(O178+P178)</f>
        <v>145500</v>
      </c>
      <c r="R178" s="749">
        <f t="shared" si="156"/>
        <v>66.13636363636364</v>
      </c>
    </row>
    <row r="179" spans="1:18" x14ac:dyDescent="0.25">
      <c r="A179" s="464"/>
      <c r="B179" s="336"/>
      <c r="C179" s="336"/>
      <c r="D179" s="336"/>
      <c r="E179" s="336"/>
      <c r="F179" s="336"/>
      <c r="G179" s="336"/>
      <c r="H179" s="24">
        <v>4214</v>
      </c>
      <c r="I179" s="15" t="s">
        <v>119</v>
      </c>
      <c r="J179" s="16">
        <v>0</v>
      </c>
      <c r="K179" s="16">
        <v>1000000</v>
      </c>
      <c r="L179" s="16">
        <v>20000</v>
      </c>
      <c r="M179" s="16" t="e">
        <f>Posebni!F315+Posebni!F397+Posebni!F420+Posebni!F457+Posebni!F463+Posebni!F475+Posebni!#REF!+Posebni!F476+Posebni!F489+Posebni!#REF!+Posebni!#REF!+Posebni!#REF!+Posebni!F503+Posebni!F525</f>
        <v>#REF!</v>
      </c>
      <c r="N179" s="16" t="e">
        <f>Posebni!G315+Posebni!G397+Posebni!G420+Posebni!G457+Posebni!G463+Posebni!G475+Posebni!#REF!+Posebni!G476+Posebni!G489+Posebni!#REF!+Posebni!#REF!+Posebni!#REF!+Posebni!G503+Posebni!G525</f>
        <v>#REF!</v>
      </c>
      <c r="O179" s="16">
        <f>Posebni!H397+Posebni!H420+Posebni!H422+Posebni!H436+Posebni!H457+Posebni!H463+Posebni!H469+Posebni!H475+Posebni!H476+Posebni!H489+Posebni!H495+Posebni!H503+Posebni!H505+Posebni!H525+Posebni!H527+Posebni!H533+Posebni!H534+Posebni!H548</f>
        <v>1414760</v>
      </c>
      <c r="P179" s="16">
        <f>Posebni!I397+Posebni!I420+Posebni!I422+Posebni!I436+Posebni!I457+Posebni!I463+Posebni!I469+Posebni!I475+Posebni!I476+Posebni!I489+Posebni!I495+Posebni!I503+Posebni!I505+Posebni!I525+Posebni!I527+Posebni!I533+Posebni!I534+Posebni!I548</f>
        <v>100100</v>
      </c>
      <c r="Q179" s="16">
        <f>Posebni!J397+Posebni!J420+Posebni!J422+Posebni!J436+Posebni!J457+Posebni!J463+Posebni!J469+Posebni!J475+Posebni!J476+Posebni!J489+Posebni!J495+Posebni!J503+Posebni!J505+Posebni!J525+Posebni!J527+Posebni!J533+Posebni!J534+Posebni!J548</f>
        <v>1514860</v>
      </c>
      <c r="R179" s="749">
        <f t="shared" si="156"/>
        <v>107.0754050156917</v>
      </c>
    </row>
    <row r="180" spans="1:18" s="1" customFormat="1" x14ac:dyDescent="0.25">
      <c r="A180" s="464"/>
      <c r="B180" s="336"/>
      <c r="C180" s="336"/>
      <c r="D180" s="336"/>
      <c r="E180" s="336"/>
      <c r="F180" s="336"/>
      <c r="G180" s="336"/>
      <c r="H180" s="23">
        <v>422</v>
      </c>
      <c r="I180" s="8" t="s">
        <v>99</v>
      </c>
      <c r="J180" s="12">
        <f t="shared" ref="J180:O180" si="158">SUM(J181:J185)</f>
        <v>15009</v>
      </c>
      <c r="K180" s="12">
        <f t="shared" si="158"/>
        <v>62000</v>
      </c>
      <c r="L180" s="12">
        <f t="shared" si="158"/>
        <v>62000</v>
      </c>
      <c r="M180" s="12" t="e">
        <f t="shared" si="158"/>
        <v>#REF!</v>
      </c>
      <c r="N180" s="12" t="e">
        <f t="shared" si="158"/>
        <v>#REF!</v>
      </c>
      <c r="O180" s="12">
        <f t="shared" si="158"/>
        <v>57500</v>
      </c>
      <c r="P180" s="12">
        <f t="shared" ref="P180:Q180" si="159">SUM(P181:P185)</f>
        <v>4000</v>
      </c>
      <c r="Q180" s="12">
        <f t="shared" si="159"/>
        <v>61500</v>
      </c>
      <c r="R180" s="756">
        <f t="shared" si="156"/>
        <v>106.95652173913044</v>
      </c>
    </row>
    <row r="181" spans="1:18" x14ac:dyDescent="0.25">
      <c r="A181" s="464"/>
      <c r="B181" s="336"/>
      <c r="C181" s="336"/>
      <c r="D181" s="336"/>
      <c r="E181" s="336"/>
      <c r="F181" s="336"/>
      <c r="G181" s="336"/>
      <c r="H181" s="24">
        <v>4221</v>
      </c>
      <c r="I181" s="15" t="s">
        <v>165</v>
      </c>
      <c r="J181" s="16">
        <v>15009</v>
      </c>
      <c r="K181" s="16">
        <v>20000</v>
      </c>
      <c r="L181" s="16">
        <v>20000</v>
      </c>
      <c r="M181" s="16">
        <f>Posebni!F62</f>
        <v>20000</v>
      </c>
      <c r="N181" s="16">
        <f>Posebni!G62</f>
        <v>2654.4561682925209</v>
      </c>
      <c r="O181" s="16">
        <f>Posebni!H62</f>
        <v>3000</v>
      </c>
      <c r="P181" s="16">
        <f>Posebni!I62</f>
        <v>4000</v>
      </c>
      <c r="Q181" s="16">
        <f>SUM(O181+P181)</f>
        <v>7000</v>
      </c>
      <c r="R181" s="749">
        <f t="shared" si="156"/>
        <v>233.33333333333334</v>
      </c>
    </row>
    <row r="182" spans="1:18" x14ac:dyDescent="0.25">
      <c r="A182" s="464"/>
      <c r="B182" s="336"/>
      <c r="C182" s="336"/>
      <c r="D182" s="336"/>
      <c r="E182" s="336"/>
      <c r="F182" s="336"/>
      <c r="G182" s="336"/>
      <c r="H182" s="24">
        <v>4222</v>
      </c>
      <c r="I182" s="15" t="s">
        <v>101</v>
      </c>
      <c r="J182" s="16">
        <v>0</v>
      </c>
      <c r="K182" s="16">
        <v>5000</v>
      </c>
      <c r="L182" s="16">
        <v>5000</v>
      </c>
      <c r="M182" s="16">
        <f>Posebni!F63</f>
        <v>15000</v>
      </c>
      <c r="N182" s="16">
        <f>Posebni!G63</f>
        <v>1990.8421262193906</v>
      </c>
      <c r="O182" s="16">
        <f>Posebni!H63</f>
        <v>4000</v>
      </c>
      <c r="P182" s="16">
        <f>Posebni!I63</f>
        <v>0</v>
      </c>
      <c r="Q182" s="16">
        <f t="shared" ref="Q182:Q185" si="160">SUM(O182+P182)</f>
        <v>4000</v>
      </c>
      <c r="R182" s="749">
        <f t="shared" si="156"/>
        <v>100</v>
      </c>
    </row>
    <row r="183" spans="1:18" x14ac:dyDescent="0.25">
      <c r="A183" s="464"/>
      <c r="B183" s="336"/>
      <c r="C183" s="336"/>
      <c r="D183" s="336"/>
      <c r="E183" s="336"/>
      <c r="F183" s="336"/>
      <c r="G183" s="336"/>
      <c r="H183" s="24">
        <v>4223</v>
      </c>
      <c r="I183" s="15" t="s">
        <v>112</v>
      </c>
      <c r="J183" s="16">
        <v>0</v>
      </c>
      <c r="K183" s="16">
        <v>2000</v>
      </c>
      <c r="L183" s="16">
        <v>2000</v>
      </c>
      <c r="M183" s="16" t="e">
        <f>Posebni!F64+Posebni!#REF!</f>
        <v>#REF!</v>
      </c>
      <c r="N183" s="16" t="e">
        <f>Posebni!G64+Posebni!#REF!</f>
        <v>#REF!</v>
      </c>
      <c r="O183" s="16">
        <f>Posebni!H64</f>
        <v>1000</v>
      </c>
      <c r="P183" s="16">
        <f>Posebni!I64</f>
        <v>0</v>
      </c>
      <c r="Q183" s="16">
        <f t="shared" si="160"/>
        <v>1000</v>
      </c>
      <c r="R183" s="749">
        <f t="shared" si="156"/>
        <v>100</v>
      </c>
    </row>
    <row r="184" spans="1:18" x14ac:dyDescent="0.25">
      <c r="A184" s="464"/>
      <c r="B184" s="336"/>
      <c r="C184" s="336"/>
      <c r="D184" s="336"/>
      <c r="E184" s="336"/>
      <c r="F184" s="336"/>
      <c r="G184" s="336"/>
      <c r="H184" s="24">
        <v>4226</v>
      </c>
      <c r="I184" s="15" t="s">
        <v>386</v>
      </c>
      <c r="J184" s="16"/>
      <c r="K184" s="16"/>
      <c r="L184" s="16"/>
      <c r="M184" s="16">
        <f>Posebni!F65</f>
        <v>7500</v>
      </c>
      <c r="N184" s="16">
        <f>Posebni!G65</f>
        <v>995.4210631096953</v>
      </c>
      <c r="O184" s="16">
        <f>Posebni!H65</f>
        <v>1000</v>
      </c>
      <c r="P184" s="16">
        <f>Posebni!I65</f>
        <v>0</v>
      </c>
      <c r="Q184" s="16">
        <f t="shared" si="160"/>
        <v>1000</v>
      </c>
      <c r="R184" s="749">
        <f t="shared" si="156"/>
        <v>100</v>
      </c>
    </row>
    <row r="185" spans="1:18" x14ac:dyDescent="0.25">
      <c r="A185" s="464"/>
      <c r="B185" s="336"/>
      <c r="C185" s="336"/>
      <c r="D185" s="336"/>
      <c r="E185" s="336"/>
      <c r="F185" s="336"/>
      <c r="G185" s="336"/>
      <c r="H185" s="24">
        <v>4227</v>
      </c>
      <c r="I185" s="15" t="s">
        <v>102</v>
      </c>
      <c r="J185" s="16">
        <v>0</v>
      </c>
      <c r="K185" s="16">
        <v>35000</v>
      </c>
      <c r="L185" s="16">
        <v>35000</v>
      </c>
      <c r="M185" s="16" t="e">
        <f>Posebni!F66+Posebni!#REF!</f>
        <v>#REF!</v>
      </c>
      <c r="N185" s="16" t="e">
        <f>Posebni!G66+Posebni!#REF!</f>
        <v>#REF!</v>
      </c>
      <c r="O185" s="16">
        <f>Posebni!H66</f>
        <v>48500</v>
      </c>
      <c r="P185" s="16">
        <f>Posebni!I66</f>
        <v>0</v>
      </c>
      <c r="Q185" s="16">
        <f t="shared" si="160"/>
        <v>48500</v>
      </c>
      <c r="R185" s="749">
        <f t="shared" si="156"/>
        <v>100</v>
      </c>
    </row>
    <row r="186" spans="1:18" s="1" customFormat="1" x14ac:dyDescent="0.25">
      <c r="A186" s="464"/>
      <c r="B186" s="336"/>
      <c r="C186" s="336"/>
      <c r="D186" s="336"/>
      <c r="E186" s="336"/>
      <c r="F186" s="336"/>
      <c r="G186" s="336"/>
      <c r="H186" s="23">
        <v>426</v>
      </c>
      <c r="I186" s="8" t="s">
        <v>117</v>
      </c>
      <c r="J186" s="12">
        <f>SUM(J187:J188)</f>
        <v>0</v>
      </c>
      <c r="K186" s="12">
        <f>SUM(K187:K188)</f>
        <v>105000</v>
      </c>
      <c r="L186" s="12">
        <f>SUM(L187:L188)</f>
        <v>5000</v>
      </c>
      <c r="M186" s="12" t="e">
        <f t="shared" ref="M186:Q186" si="161">SUM(M187:M189)</f>
        <v>#REF!</v>
      </c>
      <c r="N186" s="12" t="e">
        <f t="shared" si="161"/>
        <v>#REF!</v>
      </c>
      <c r="O186" s="12">
        <f t="shared" si="161"/>
        <v>52500</v>
      </c>
      <c r="P186" s="12">
        <f t="shared" si="161"/>
        <v>0</v>
      </c>
      <c r="Q186" s="12">
        <f t="shared" si="161"/>
        <v>52500</v>
      </c>
      <c r="R186" s="756">
        <f t="shared" si="156"/>
        <v>100</v>
      </c>
    </row>
    <row r="187" spans="1:18" x14ac:dyDescent="0.25">
      <c r="A187" s="464"/>
      <c r="B187" s="336"/>
      <c r="C187" s="336"/>
      <c r="D187" s="336"/>
      <c r="E187" s="336"/>
      <c r="F187" s="336"/>
      <c r="G187" s="336"/>
      <c r="H187" s="24">
        <v>4262</v>
      </c>
      <c r="I187" s="15" t="s">
        <v>113</v>
      </c>
      <c r="J187" s="16">
        <v>0</v>
      </c>
      <c r="K187" s="16">
        <v>5000</v>
      </c>
      <c r="L187" s="16">
        <v>5000</v>
      </c>
      <c r="M187" s="16">
        <f>Posebni!F72</f>
        <v>20000</v>
      </c>
      <c r="N187" s="16">
        <f>Posebni!G72</f>
        <v>2654.4561682925209</v>
      </c>
      <c r="O187" s="16">
        <f>Posebni!H72</f>
        <v>2000</v>
      </c>
      <c r="P187" s="16">
        <f>Posebni!I72</f>
        <v>0</v>
      </c>
      <c r="Q187" s="16">
        <f>SUM(O187+P187)</f>
        <v>2000</v>
      </c>
      <c r="R187" s="749">
        <f t="shared" si="156"/>
        <v>100</v>
      </c>
    </row>
    <row r="188" spans="1:18" x14ac:dyDescent="0.25">
      <c r="A188" s="464"/>
      <c r="B188" s="336"/>
      <c r="C188" s="336"/>
      <c r="D188" s="336"/>
      <c r="E188" s="336"/>
      <c r="F188" s="336"/>
      <c r="G188" s="336"/>
      <c r="H188" s="24">
        <v>4263</v>
      </c>
      <c r="I188" s="15" t="s">
        <v>473</v>
      </c>
      <c r="J188" s="16">
        <v>0</v>
      </c>
      <c r="K188" s="16">
        <v>100000</v>
      </c>
      <c r="L188" s="16">
        <v>0</v>
      </c>
      <c r="M188" s="16">
        <v>0</v>
      </c>
      <c r="N188" s="16">
        <v>0</v>
      </c>
      <c r="O188" s="16">
        <f>Posebni!H555+Posebni!H556+Posebni!H562+Posebni!H563</f>
        <v>48000</v>
      </c>
      <c r="P188" s="16">
        <f>Posebni!I555+Posebni!I556+Posebni!I562+Posebni!I563</f>
        <v>0</v>
      </c>
      <c r="Q188" s="16">
        <f t="shared" ref="Q188:Q189" si="162">SUM(O188+P188)</f>
        <v>48000</v>
      </c>
      <c r="R188" s="749">
        <f t="shared" si="156"/>
        <v>100</v>
      </c>
    </row>
    <row r="189" spans="1:18" x14ac:dyDescent="0.25">
      <c r="A189" s="464"/>
      <c r="B189" s="336"/>
      <c r="C189" s="336"/>
      <c r="D189" s="336"/>
      <c r="E189" s="336"/>
      <c r="F189" s="336"/>
      <c r="G189" s="336"/>
      <c r="H189" s="24">
        <v>4264</v>
      </c>
      <c r="I189" s="15" t="s">
        <v>387</v>
      </c>
      <c r="J189" s="16"/>
      <c r="K189" s="16"/>
      <c r="L189" s="16"/>
      <c r="M189" s="16" t="e">
        <f>Posebni!F217+Posebni!#REF!</f>
        <v>#REF!</v>
      </c>
      <c r="N189" s="16" t="e">
        <f>Posebni!G217+Posebni!#REF!</f>
        <v>#REF!</v>
      </c>
      <c r="O189" s="16">
        <f>Posebni!H217</f>
        <v>2500</v>
      </c>
      <c r="P189" s="16">
        <f>Posebni!I217</f>
        <v>0</v>
      </c>
      <c r="Q189" s="16">
        <f t="shared" si="162"/>
        <v>2500</v>
      </c>
      <c r="R189" s="749">
        <f t="shared" si="156"/>
        <v>100</v>
      </c>
    </row>
    <row r="190" spans="1:18" s="65" customFormat="1" x14ac:dyDescent="0.25">
      <c r="A190" s="465"/>
      <c r="B190" s="346"/>
      <c r="C190" s="346"/>
      <c r="D190" s="346"/>
      <c r="E190" s="346"/>
      <c r="F190" s="346"/>
      <c r="G190" s="346"/>
      <c r="H190" s="66">
        <v>45</v>
      </c>
      <c r="I190" s="70" t="s">
        <v>363</v>
      </c>
      <c r="J190" s="68">
        <f t="shared" ref="J190:O190" si="163">SUM(J191+J193)</f>
        <v>0</v>
      </c>
      <c r="K190" s="68">
        <f t="shared" si="163"/>
        <v>0</v>
      </c>
      <c r="L190" s="68">
        <f t="shared" si="163"/>
        <v>0</v>
      </c>
      <c r="M190" s="68" t="e">
        <f t="shared" si="163"/>
        <v>#REF!</v>
      </c>
      <c r="N190" s="68" t="e">
        <f t="shared" si="163"/>
        <v>#REF!</v>
      </c>
      <c r="O190" s="68">
        <f t="shared" si="163"/>
        <v>65500</v>
      </c>
      <c r="P190" s="68">
        <f t="shared" ref="P190:Q190" si="164">SUM(P191+P193)</f>
        <v>20000</v>
      </c>
      <c r="Q190" s="68">
        <f t="shared" si="164"/>
        <v>85500</v>
      </c>
      <c r="R190" s="755">
        <f>Q190/O190*100</f>
        <v>130.53435114503819</v>
      </c>
    </row>
    <row r="191" spans="1:18" s="1" customFormat="1" x14ac:dyDescent="0.25">
      <c r="A191" s="464"/>
      <c r="B191" s="336"/>
      <c r="C191" s="336"/>
      <c r="D191" s="336" t="s">
        <v>366</v>
      </c>
      <c r="E191" s="336"/>
      <c r="F191" s="336"/>
      <c r="G191" s="336"/>
      <c r="H191" s="23">
        <v>451</v>
      </c>
      <c r="I191" s="8" t="s">
        <v>162</v>
      </c>
      <c r="J191" s="12">
        <f>SUM(J192:J192)</f>
        <v>0</v>
      </c>
      <c r="K191" s="12">
        <f>SUM(K192:K192)</f>
        <v>0</v>
      </c>
      <c r="L191" s="12">
        <f>SUM(L192:L192)</f>
        <v>0</v>
      </c>
      <c r="M191" s="12" t="e">
        <f t="shared" ref="M191:Q191" si="165">SUM(M192)</f>
        <v>#REF!</v>
      </c>
      <c r="N191" s="12" t="e">
        <f t="shared" si="165"/>
        <v>#REF!</v>
      </c>
      <c r="O191" s="12">
        <f t="shared" si="165"/>
        <v>19000</v>
      </c>
      <c r="P191" s="12">
        <f t="shared" si="165"/>
        <v>0</v>
      </c>
      <c r="Q191" s="12">
        <f t="shared" si="165"/>
        <v>19000</v>
      </c>
      <c r="R191" s="756">
        <f>Q191/O191*100</f>
        <v>100</v>
      </c>
    </row>
    <row r="192" spans="1:18" x14ac:dyDescent="0.25">
      <c r="A192" s="464"/>
      <c r="B192" s="336"/>
      <c r="C192" s="336"/>
      <c r="D192" s="336"/>
      <c r="E192" s="336"/>
      <c r="F192" s="336"/>
      <c r="G192" s="336"/>
      <c r="H192" s="24">
        <v>4511</v>
      </c>
      <c r="I192" s="15" t="s">
        <v>103</v>
      </c>
      <c r="J192" s="16">
        <v>0</v>
      </c>
      <c r="K192" s="16">
        <v>0</v>
      </c>
      <c r="L192" s="16">
        <v>0</v>
      </c>
      <c r="M192" s="16" t="e">
        <f>Posebni!#REF!+Posebni!#REF!</f>
        <v>#REF!</v>
      </c>
      <c r="N192" s="16" t="e">
        <f>Posebni!#REF!+Posebni!#REF!</f>
        <v>#REF!</v>
      </c>
      <c r="O192" s="16">
        <f>Posebni!H365+Posebni!H366</f>
        <v>19000</v>
      </c>
      <c r="P192" s="16">
        <f>Posebni!I365+Posebni!I366</f>
        <v>0</v>
      </c>
      <c r="Q192" s="16">
        <f>SUM(O192+P192)</f>
        <v>19000</v>
      </c>
      <c r="R192" s="749">
        <f t="shared" ref="R192:R194" si="166">Q192/O192*100</f>
        <v>100</v>
      </c>
    </row>
    <row r="193" spans="1:18" s="1" customFormat="1" x14ac:dyDescent="0.25">
      <c r="A193" s="464"/>
      <c r="B193" s="336"/>
      <c r="C193" s="336"/>
      <c r="D193" s="336"/>
      <c r="E193" s="336"/>
      <c r="F193" s="336"/>
      <c r="G193" s="336"/>
      <c r="H193" s="23">
        <v>454</v>
      </c>
      <c r="I193" s="5" t="s">
        <v>604</v>
      </c>
      <c r="J193" s="12">
        <f t="shared" ref="J193:Q193" si="167">SUM(J194)</f>
        <v>0</v>
      </c>
      <c r="K193" s="12">
        <f t="shared" si="167"/>
        <v>0</v>
      </c>
      <c r="L193" s="12">
        <f t="shared" si="167"/>
        <v>0</v>
      </c>
      <c r="M193" s="12">
        <f t="shared" si="167"/>
        <v>0</v>
      </c>
      <c r="N193" s="12">
        <f t="shared" si="167"/>
        <v>0</v>
      </c>
      <c r="O193" s="12">
        <f t="shared" si="167"/>
        <v>46500</v>
      </c>
      <c r="P193" s="12">
        <f t="shared" si="167"/>
        <v>20000</v>
      </c>
      <c r="Q193" s="12">
        <f t="shared" si="167"/>
        <v>66500</v>
      </c>
      <c r="R193" s="756">
        <f t="shared" si="166"/>
        <v>143.01075268817206</v>
      </c>
    </row>
    <row r="194" spans="1:18" x14ac:dyDescent="0.25">
      <c r="A194" s="467"/>
      <c r="B194" s="350"/>
      <c r="C194" s="350"/>
      <c r="D194" s="350"/>
      <c r="E194" s="350"/>
      <c r="F194" s="350"/>
      <c r="G194" s="350"/>
      <c r="H194" s="351">
        <v>4541</v>
      </c>
      <c r="I194" s="352" t="s">
        <v>604</v>
      </c>
      <c r="J194" s="353">
        <v>0</v>
      </c>
      <c r="K194" s="353">
        <v>0</v>
      </c>
      <c r="L194" s="353">
        <v>0</v>
      </c>
      <c r="M194" s="353">
        <v>0</v>
      </c>
      <c r="N194" s="353">
        <v>0</v>
      </c>
      <c r="O194" s="353">
        <f>Posebni!H482+Posebni!H483</f>
        <v>46500</v>
      </c>
      <c r="P194" s="353">
        <f>Posebni!I482+Posebni!I483</f>
        <v>20000</v>
      </c>
      <c r="Q194" s="353">
        <f>SUM(O194+P194)</f>
        <v>66500</v>
      </c>
      <c r="R194" s="749">
        <f t="shared" si="166"/>
        <v>143.01075268817206</v>
      </c>
    </row>
    <row r="195" spans="1:18" x14ac:dyDescent="0.25">
      <c r="A195" s="759"/>
      <c r="B195" s="343"/>
      <c r="C195" s="343"/>
      <c r="D195" s="343"/>
      <c r="E195" s="343"/>
      <c r="F195" s="343"/>
      <c r="G195" s="343"/>
      <c r="H195" s="18"/>
      <c r="I195" s="19"/>
      <c r="J195" s="20"/>
      <c r="K195" s="20"/>
      <c r="L195" s="20"/>
      <c r="M195" s="20"/>
      <c r="N195" s="20"/>
      <c r="O195" s="20"/>
      <c r="P195" s="20"/>
      <c r="Q195" s="20"/>
      <c r="R195" s="760"/>
    </row>
    <row r="196" spans="1:18" s="40" customFormat="1" ht="13.8" thickBot="1" x14ac:dyDescent="0.3">
      <c r="A196" s="761"/>
      <c r="B196" s="503"/>
      <c r="C196" s="503"/>
      <c r="D196" s="503"/>
      <c r="E196" s="503"/>
      <c r="F196" s="503"/>
      <c r="G196" s="503"/>
      <c r="H196" s="28" t="s">
        <v>5</v>
      </c>
      <c r="I196" s="504"/>
      <c r="J196" s="505"/>
      <c r="K196" s="505"/>
      <c r="L196" s="505"/>
      <c r="M196" s="505"/>
      <c r="N196" s="505"/>
      <c r="O196" s="139"/>
      <c r="P196" s="139"/>
      <c r="Q196" s="139"/>
      <c r="R196" s="762"/>
    </row>
    <row r="197" spans="1:18" s="56" customFormat="1" x14ac:dyDescent="0.25">
      <c r="A197" s="471"/>
      <c r="B197" s="348"/>
      <c r="C197" s="348"/>
      <c r="D197" s="348"/>
      <c r="E197" s="348"/>
      <c r="F197" s="348"/>
      <c r="G197" s="348"/>
      <c r="H197" s="53">
        <v>8</v>
      </c>
      <c r="I197" s="54" t="s">
        <v>6</v>
      </c>
      <c r="J197" s="55">
        <f t="shared" ref="J197:M197" si="168">SUM(J198+J201)</f>
        <v>2721893</v>
      </c>
      <c r="K197" s="55">
        <f t="shared" si="168"/>
        <v>0</v>
      </c>
      <c r="L197" s="55">
        <f t="shared" si="168"/>
        <v>0</v>
      </c>
      <c r="M197" s="55">
        <f t="shared" si="168"/>
        <v>0</v>
      </c>
      <c r="N197" s="55">
        <f t="shared" ref="N197:O197" si="169">SUM(N198+N201)</f>
        <v>0</v>
      </c>
      <c r="O197" s="587">
        <f t="shared" si="169"/>
        <v>0</v>
      </c>
      <c r="P197" s="587">
        <f t="shared" ref="P197" si="170">SUM(P198+P201)</f>
        <v>0</v>
      </c>
      <c r="Q197" s="587">
        <f t="shared" ref="Q197" si="171">SUM(Q198+Q201)</f>
        <v>0</v>
      </c>
      <c r="R197" s="763">
        <v>0</v>
      </c>
    </row>
    <row r="198" spans="1:18" s="65" customFormat="1" x14ac:dyDescent="0.25">
      <c r="A198" s="465"/>
      <c r="B198" s="346"/>
      <c r="C198" s="346"/>
      <c r="D198" s="346"/>
      <c r="E198" s="346"/>
      <c r="F198" s="346"/>
      <c r="G198" s="346"/>
      <c r="H198" s="71">
        <v>81</v>
      </c>
      <c r="I198" s="67" t="s">
        <v>122</v>
      </c>
      <c r="J198" s="68">
        <f>SUM(J199)</f>
        <v>0</v>
      </c>
      <c r="K198" s="68">
        <f t="shared" ref="K198:Q199" si="172">SUM(K199)</f>
        <v>0</v>
      </c>
      <c r="L198" s="68">
        <f t="shared" si="172"/>
        <v>0</v>
      </c>
      <c r="M198" s="68">
        <f t="shared" si="172"/>
        <v>0</v>
      </c>
      <c r="N198" s="68">
        <f t="shared" si="172"/>
        <v>0</v>
      </c>
      <c r="O198" s="68">
        <f t="shared" si="172"/>
        <v>0</v>
      </c>
      <c r="P198" s="68">
        <f t="shared" si="172"/>
        <v>0</v>
      </c>
      <c r="Q198" s="68">
        <f t="shared" si="172"/>
        <v>0</v>
      </c>
      <c r="R198" s="764">
        <v>0</v>
      </c>
    </row>
    <row r="199" spans="1:18" s="1" customFormat="1" ht="21" x14ac:dyDescent="0.25">
      <c r="A199" s="464"/>
      <c r="B199" s="336"/>
      <c r="C199" s="336"/>
      <c r="D199" s="336"/>
      <c r="E199" s="336"/>
      <c r="F199" s="336"/>
      <c r="G199" s="336"/>
      <c r="H199" s="327">
        <v>815</v>
      </c>
      <c r="I199" s="8" t="s">
        <v>163</v>
      </c>
      <c r="J199" s="12">
        <f>SUM(J200)</f>
        <v>0</v>
      </c>
      <c r="K199" s="12">
        <f t="shared" si="172"/>
        <v>0</v>
      </c>
      <c r="L199" s="12">
        <f t="shared" si="172"/>
        <v>0</v>
      </c>
      <c r="M199" s="12">
        <f t="shared" si="172"/>
        <v>0</v>
      </c>
      <c r="N199" s="12">
        <f t="shared" si="172"/>
        <v>0</v>
      </c>
      <c r="O199" s="12">
        <f t="shared" si="172"/>
        <v>0</v>
      </c>
      <c r="P199" s="12">
        <f t="shared" si="172"/>
        <v>0</v>
      </c>
      <c r="Q199" s="12">
        <f t="shared" si="172"/>
        <v>0</v>
      </c>
      <c r="R199" s="765">
        <v>0</v>
      </c>
    </row>
    <row r="200" spans="1:18" s="2" customFormat="1" x14ac:dyDescent="0.25">
      <c r="A200" s="464"/>
      <c r="B200" s="336"/>
      <c r="C200" s="336"/>
      <c r="D200" s="336"/>
      <c r="E200" s="336"/>
      <c r="F200" s="336"/>
      <c r="G200" s="336"/>
      <c r="H200" s="35">
        <v>8151</v>
      </c>
      <c r="I200" s="44" t="s">
        <v>123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f>SUM(O200+P200)</f>
        <v>0</v>
      </c>
      <c r="R200" s="766">
        <v>0</v>
      </c>
    </row>
    <row r="201" spans="1:18" s="65" customFormat="1" ht="13.5" customHeight="1" x14ac:dyDescent="0.25">
      <c r="A201" s="465"/>
      <c r="B201" s="346"/>
      <c r="C201" s="346"/>
      <c r="D201" s="346"/>
      <c r="E201" s="346"/>
      <c r="F201" s="346"/>
      <c r="G201" s="346"/>
      <c r="H201" s="71">
        <v>84</v>
      </c>
      <c r="I201" s="67" t="s">
        <v>104</v>
      </c>
      <c r="J201" s="68">
        <f t="shared" ref="J201:Q202" si="173">SUM(J202)</f>
        <v>2721893</v>
      </c>
      <c r="K201" s="68">
        <f t="shared" si="173"/>
        <v>0</v>
      </c>
      <c r="L201" s="68">
        <f t="shared" si="173"/>
        <v>0</v>
      </c>
      <c r="M201" s="68">
        <f t="shared" si="173"/>
        <v>0</v>
      </c>
      <c r="N201" s="68">
        <f t="shared" si="173"/>
        <v>0</v>
      </c>
      <c r="O201" s="68">
        <f t="shared" si="173"/>
        <v>0</v>
      </c>
      <c r="P201" s="68">
        <f t="shared" si="173"/>
        <v>0</v>
      </c>
      <c r="Q201" s="68">
        <f t="shared" si="173"/>
        <v>0</v>
      </c>
      <c r="R201" s="764">
        <v>0</v>
      </c>
    </row>
    <row r="202" spans="1:18" s="1" customFormat="1" ht="21" x14ac:dyDescent="0.25">
      <c r="A202" s="464"/>
      <c r="B202" s="336"/>
      <c r="C202" s="336"/>
      <c r="D202" s="336"/>
      <c r="E202" s="336"/>
      <c r="F202" s="336"/>
      <c r="G202" s="336"/>
      <c r="H202" s="327">
        <v>844</v>
      </c>
      <c r="I202" s="8" t="s">
        <v>115</v>
      </c>
      <c r="J202" s="12">
        <f t="shared" si="173"/>
        <v>2721893</v>
      </c>
      <c r="K202" s="12">
        <f t="shared" si="173"/>
        <v>0</v>
      </c>
      <c r="L202" s="12">
        <f t="shared" si="173"/>
        <v>0</v>
      </c>
      <c r="M202" s="12">
        <f t="shared" si="173"/>
        <v>0</v>
      </c>
      <c r="N202" s="12">
        <f t="shared" si="173"/>
        <v>0</v>
      </c>
      <c r="O202" s="12">
        <f t="shared" si="173"/>
        <v>0</v>
      </c>
      <c r="P202" s="12">
        <f t="shared" si="173"/>
        <v>0</v>
      </c>
      <c r="Q202" s="12">
        <f t="shared" si="173"/>
        <v>0</v>
      </c>
      <c r="R202" s="765">
        <v>0</v>
      </c>
    </row>
    <row r="203" spans="1:18" s="2" customFormat="1" ht="21" x14ac:dyDescent="0.25">
      <c r="A203" s="464"/>
      <c r="B203" s="336"/>
      <c r="C203" s="336"/>
      <c r="D203" s="336"/>
      <c r="E203" s="336"/>
      <c r="F203" s="336"/>
      <c r="G203" s="336"/>
      <c r="H203" s="35">
        <v>8443</v>
      </c>
      <c r="I203" s="15" t="s">
        <v>116</v>
      </c>
      <c r="J203" s="16">
        <v>2721893</v>
      </c>
      <c r="K203" s="16">
        <v>0</v>
      </c>
      <c r="L203" s="16">
        <v>0</v>
      </c>
      <c r="M203" s="16"/>
      <c r="N203" s="16"/>
      <c r="O203" s="16"/>
      <c r="P203" s="16"/>
      <c r="Q203" s="16"/>
      <c r="R203" s="766">
        <v>0</v>
      </c>
    </row>
    <row r="204" spans="1:18" s="52" customFormat="1" ht="13.8" thickBot="1" x14ac:dyDescent="0.3">
      <c r="A204" s="468"/>
      <c r="B204" s="347"/>
      <c r="C204" s="347"/>
      <c r="D204" s="347"/>
      <c r="E204" s="347"/>
      <c r="F204" s="347"/>
      <c r="G204" s="347"/>
      <c r="H204" s="57">
        <v>5</v>
      </c>
      <c r="I204" s="58" t="s">
        <v>164</v>
      </c>
      <c r="J204" s="51">
        <f t="shared" ref="J204:M204" si="174">SUM(J205,J208)</f>
        <v>0</v>
      </c>
      <c r="K204" s="51">
        <f t="shared" si="174"/>
        <v>0</v>
      </c>
      <c r="L204" s="51">
        <f t="shared" si="174"/>
        <v>0</v>
      </c>
      <c r="M204" s="51" t="e">
        <f t="shared" si="174"/>
        <v>#REF!</v>
      </c>
      <c r="N204" s="51" t="e">
        <f t="shared" ref="N204:O204" si="175">SUM(N205,N208)</f>
        <v>#REF!</v>
      </c>
      <c r="O204" s="51">
        <f t="shared" si="175"/>
        <v>0</v>
      </c>
      <c r="P204" s="51">
        <f t="shared" ref="P204" si="176">SUM(P205,P208)</f>
        <v>0</v>
      </c>
      <c r="Q204" s="51">
        <f t="shared" ref="Q204" si="177">SUM(Q205,Q208)</f>
        <v>0</v>
      </c>
      <c r="R204" s="767">
        <v>0</v>
      </c>
    </row>
    <row r="205" spans="1:18" s="65" customFormat="1" x14ac:dyDescent="0.25">
      <c r="A205" s="463"/>
      <c r="B205" s="345"/>
      <c r="C205" s="345"/>
      <c r="D205" s="345"/>
      <c r="E205" s="345"/>
      <c r="F205" s="345"/>
      <c r="G205" s="345"/>
      <c r="H205" s="72">
        <v>51</v>
      </c>
      <c r="I205" s="63" t="s">
        <v>124</v>
      </c>
      <c r="J205" s="64">
        <f t="shared" ref="J205:Q206" si="178">SUM(J206)</f>
        <v>0</v>
      </c>
      <c r="K205" s="64">
        <f t="shared" si="178"/>
        <v>0</v>
      </c>
      <c r="L205" s="64">
        <f t="shared" si="178"/>
        <v>0</v>
      </c>
      <c r="M205" s="64">
        <f t="shared" si="178"/>
        <v>0</v>
      </c>
      <c r="N205" s="64">
        <f t="shared" si="178"/>
        <v>0</v>
      </c>
      <c r="O205" s="64">
        <f t="shared" si="178"/>
        <v>0</v>
      </c>
      <c r="P205" s="64">
        <f t="shared" si="178"/>
        <v>0</v>
      </c>
      <c r="Q205" s="64">
        <f t="shared" si="178"/>
        <v>0</v>
      </c>
      <c r="R205" s="764">
        <v>0</v>
      </c>
    </row>
    <row r="206" spans="1:18" s="2" customFormat="1" x14ac:dyDescent="0.25">
      <c r="A206" s="464"/>
      <c r="B206" s="336"/>
      <c r="C206" s="336"/>
      <c r="D206" s="336"/>
      <c r="E206" s="336"/>
      <c r="F206" s="336"/>
      <c r="G206" s="336"/>
      <c r="H206" s="327">
        <v>515</v>
      </c>
      <c r="I206" s="5" t="s">
        <v>125</v>
      </c>
      <c r="J206" s="12">
        <f t="shared" si="178"/>
        <v>0</v>
      </c>
      <c r="K206" s="12">
        <f t="shared" si="178"/>
        <v>0</v>
      </c>
      <c r="L206" s="12">
        <f t="shared" si="178"/>
        <v>0</v>
      </c>
      <c r="M206" s="12">
        <f t="shared" si="178"/>
        <v>0</v>
      </c>
      <c r="N206" s="12">
        <f t="shared" si="178"/>
        <v>0</v>
      </c>
      <c r="O206" s="12">
        <f t="shared" si="178"/>
        <v>0</v>
      </c>
      <c r="P206" s="12">
        <f t="shared" si="178"/>
        <v>0</v>
      </c>
      <c r="Q206" s="12">
        <f t="shared" si="178"/>
        <v>0</v>
      </c>
      <c r="R206" s="765">
        <v>0</v>
      </c>
    </row>
    <row r="207" spans="1:18" s="2" customFormat="1" x14ac:dyDescent="0.25">
      <c r="A207" s="464"/>
      <c r="B207" s="336"/>
      <c r="C207" s="336"/>
      <c r="D207" s="336"/>
      <c r="E207" s="336"/>
      <c r="F207" s="336"/>
      <c r="G207" s="336"/>
      <c r="H207" s="35">
        <v>5151</v>
      </c>
      <c r="I207" s="15" t="s">
        <v>126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766">
        <v>0</v>
      </c>
    </row>
    <row r="208" spans="1:18" s="65" customFormat="1" x14ac:dyDescent="0.25">
      <c r="A208" s="465"/>
      <c r="B208" s="346"/>
      <c r="C208" s="346"/>
      <c r="D208" s="346"/>
      <c r="E208" s="346"/>
      <c r="F208" s="346"/>
      <c r="G208" s="346"/>
      <c r="H208" s="71">
        <v>54</v>
      </c>
      <c r="I208" s="70" t="s">
        <v>105</v>
      </c>
      <c r="J208" s="68">
        <f t="shared" ref="J208:M208" si="179">SUM(J209+J211)</f>
        <v>0</v>
      </c>
      <c r="K208" s="68">
        <f t="shared" si="179"/>
        <v>0</v>
      </c>
      <c r="L208" s="68">
        <f t="shared" si="179"/>
        <v>0</v>
      </c>
      <c r="M208" s="68" t="e">
        <f t="shared" si="179"/>
        <v>#REF!</v>
      </c>
      <c r="N208" s="68" t="e">
        <f t="shared" ref="N208:O208" si="180">SUM(N209+N211)</f>
        <v>#REF!</v>
      </c>
      <c r="O208" s="68">
        <f t="shared" si="180"/>
        <v>0</v>
      </c>
      <c r="P208" s="68">
        <f t="shared" ref="P208" si="181">SUM(P209+P211)</f>
        <v>0</v>
      </c>
      <c r="Q208" s="68">
        <f t="shared" ref="Q208" si="182">SUM(Q209+Q211)</f>
        <v>0</v>
      </c>
      <c r="R208" s="764">
        <v>0</v>
      </c>
    </row>
    <row r="209" spans="1:18" s="1" customFormat="1" ht="21" x14ac:dyDescent="0.25">
      <c r="A209" s="464"/>
      <c r="B209" s="336"/>
      <c r="C209" s="336"/>
      <c r="D209" s="336"/>
      <c r="E209" s="336"/>
      <c r="F209" s="336"/>
      <c r="G209" s="336"/>
      <c r="H209" s="327">
        <v>543</v>
      </c>
      <c r="I209" s="8" t="s">
        <v>118</v>
      </c>
      <c r="J209" s="12">
        <f t="shared" ref="J209:Q209" si="183">SUM(J210)</f>
        <v>0</v>
      </c>
      <c r="K209" s="12">
        <f t="shared" si="183"/>
        <v>0</v>
      </c>
      <c r="L209" s="12">
        <f t="shared" si="183"/>
        <v>0</v>
      </c>
      <c r="M209" s="12">
        <f t="shared" si="183"/>
        <v>0</v>
      </c>
      <c r="N209" s="12">
        <f t="shared" si="183"/>
        <v>0</v>
      </c>
      <c r="O209" s="12">
        <f t="shared" si="183"/>
        <v>0</v>
      </c>
      <c r="P209" s="12">
        <f t="shared" si="183"/>
        <v>0</v>
      </c>
      <c r="Q209" s="12">
        <f t="shared" si="183"/>
        <v>0</v>
      </c>
      <c r="R209" s="765">
        <v>0</v>
      </c>
    </row>
    <row r="210" spans="1:18" s="2" customFormat="1" ht="21" x14ac:dyDescent="0.25">
      <c r="A210" s="464"/>
      <c r="B210" s="336"/>
      <c r="C210" s="336"/>
      <c r="D210" s="336"/>
      <c r="E210" s="336"/>
      <c r="F210" s="336"/>
      <c r="G210" s="336"/>
      <c r="H210" s="35">
        <v>5431</v>
      </c>
      <c r="I210" s="15" t="s">
        <v>118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766">
        <v>0</v>
      </c>
    </row>
    <row r="211" spans="1:18" s="1" customFormat="1" ht="21" x14ac:dyDescent="0.25">
      <c r="A211" s="464"/>
      <c r="B211" s="336"/>
      <c r="C211" s="336"/>
      <c r="D211" s="336"/>
      <c r="E211" s="336"/>
      <c r="F211" s="336"/>
      <c r="G211" s="336"/>
      <c r="H211" s="327">
        <v>545</v>
      </c>
      <c r="I211" s="8" t="s">
        <v>487</v>
      </c>
      <c r="J211" s="12">
        <f t="shared" ref="J211:Q211" si="184">SUM(J212)</f>
        <v>0</v>
      </c>
      <c r="K211" s="12">
        <f t="shared" si="184"/>
        <v>0</v>
      </c>
      <c r="L211" s="12">
        <f t="shared" si="184"/>
        <v>0</v>
      </c>
      <c r="M211" s="12" t="e">
        <f t="shared" si="184"/>
        <v>#REF!</v>
      </c>
      <c r="N211" s="12" t="e">
        <f t="shared" si="184"/>
        <v>#REF!</v>
      </c>
      <c r="O211" s="12">
        <f t="shared" si="184"/>
        <v>0</v>
      </c>
      <c r="P211" s="12">
        <f t="shared" si="184"/>
        <v>0</v>
      </c>
      <c r="Q211" s="12">
        <f t="shared" si="184"/>
        <v>0</v>
      </c>
      <c r="R211" s="765">
        <v>0</v>
      </c>
    </row>
    <row r="212" spans="1:18" s="109" customFormat="1" ht="21" thickBot="1" x14ac:dyDescent="0.3">
      <c r="A212" s="469"/>
      <c r="B212" s="434"/>
      <c r="C212" s="434"/>
      <c r="D212" s="434"/>
      <c r="E212" s="434"/>
      <c r="F212" s="434"/>
      <c r="G212" s="434"/>
      <c r="H212" s="435">
        <v>5453</v>
      </c>
      <c r="I212" s="436" t="s">
        <v>487</v>
      </c>
      <c r="J212" s="437">
        <v>0</v>
      </c>
      <c r="K212" s="437">
        <v>0</v>
      </c>
      <c r="L212" s="437">
        <v>0</v>
      </c>
      <c r="M212" s="437" t="e">
        <f>Posebni!#REF!</f>
        <v>#REF!</v>
      </c>
      <c r="N212" s="437" t="e">
        <f>Posebni!#REF!</f>
        <v>#REF!</v>
      </c>
      <c r="O212" s="437">
        <v>0</v>
      </c>
      <c r="P212" s="437">
        <v>0</v>
      </c>
      <c r="Q212" s="437">
        <v>0</v>
      </c>
      <c r="R212" s="768">
        <v>0</v>
      </c>
    </row>
    <row r="213" spans="1:18" s="2" customFormat="1" x14ac:dyDescent="0.25">
      <c r="A213" s="470"/>
      <c r="B213" s="343"/>
      <c r="C213" s="343"/>
      <c r="D213" s="343"/>
      <c r="E213" s="343"/>
      <c r="F213" s="343"/>
      <c r="G213" s="343"/>
      <c r="H213" s="18"/>
      <c r="I213" s="19"/>
      <c r="J213" s="20"/>
      <c r="K213" s="20"/>
      <c r="L213" s="20"/>
      <c r="M213" s="20"/>
      <c r="N213" s="20"/>
      <c r="O213" s="20"/>
      <c r="P213" s="20"/>
      <c r="Q213" s="20"/>
      <c r="R213" s="21"/>
    </row>
    <row r="214" spans="1:18" s="2" customFormat="1" x14ac:dyDescent="0.25">
      <c r="A214" s="470"/>
      <c r="B214" s="343"/>
      <c r="C214" s="343"/>
      <c r="D214" s="343"/>
      <c r="E214" s="343"/>
      <c r="F214" s="343"/>
      <c r="G214" s="343"/>
      <c r="H214" s="18"/>
      <c r="I214" s="19"/>
      <c r="J214" s="22"/>
      <c r="K214" s="22"/>
      <c r="L214" s="22"/>
      <c r="M214" s="22"/>
      <c r="N214" s="22"/>
      <c r="O214" s="22"/>
      <c r="P214" s="22"/>
      <c r="Q214" s="22"/>
      <c r="R214" s="21"/>
    </row>
    <row r="215" spans="1:18" s="40" customFormat="1" ht="13.8" thickBot="1" x14ac:dyDescent="0.3">
      <c r="A215" s="502"/>
      <c r="B215" s="503"/>
      <c r="C215" s="503"/>
      <c r="D215" s="503"/>
      <c r="E215" s="503"/>
      <c r="F215" s="503"/>
      <c r="G215" s="503"/>
      <c r="H215" s="28" t="s">
        <v>106</v>
      </c>
      <c r="I215" s="504"/>
      <c r="J215" s="505"/>
      <c r="K215" s="505"/>
      <c r="L215" s="505"/>
      <c r="M215" s="505"/>
      <c r="N215" s="505"/>
      <c r="O215" s="139"/>
      <c r="P215" s="139"/>
      <c r="Q215" s="139"/>
    </row>
    <row r="216" spans="1:18" s="56" customFormat="1" x14ac:dyDescent="0.25">
      <c r="A216" s="471"/>
      <c r="B216" s="348"/>
      <c r="C216" s="348"/>
      <c r="D216" s="348"/>
      <c r="E216" s="348"/>
      <c r="F216" s="348"/>
      <c r="G216" s="348"/>
      <c r="H216" s="59">
        <v>9</v>
      </c>
      <c r="I216" s="60" t="s">
        <v>8</v>
      </c>
      <c r="J216" s="55">
        <f t="shared" ref="J216:Q217" si="185">SUM(J217)</f>
        <v>610476</v>
      </c>
      <c r="K216" s="55">
        <f t="shared" si="185"/>
        <v>0</v>
      </c>
      <c r="L216" s="55">
        <f t="shared" si="185"/>
        <v>0</v>
      </c>
      <c r="M216" s="55">
        <f t="shared" si="185"/>
        <v>0</v>
      </c>
      <c r="N216" s="55">
        <f t="shared" si="185"/>
        <v>0</v>
      </c>
      <c r="O216" s="587">
        <f t="shared" si="185"/>
        <v>900000</v>
      </c>
      <c r="P216" s="587">
        <f t="shared" si="185"/>
        <v>0</v>
      </c>
      <c r="Q216" s="587">
        <f t="shared" si="185"/>
        <v>900000</v>
      </c>
      <c r="R216" s="769">
        <f>P216/O216*100</f>
        <v>0</v>
      </c>
    </row>
    <row r="217" spans="1:18" s="65" customFormat="1" x14ac:dyDescent="0.25">
      <c r="A217" s="465"/>
      <c r="B217" s="346"/>
      <c r="C217" s="346"/>
      <c r="D217" s="346"/>
      <c r="E217" s="346"/>
      <c r="F217" s="346"/>
      <c r="G217" s="346"/>
      <c r="H217" s="66">
        <v>92</v>
      </c>
      <c r="I217" s="67" t="s">
        <v>107</v>
      </c>
      <c r="J217" s="68">
        <f t="shared" si="185"/>
        <v>610476</v>
      </c>
      <c r="K217" s="68">
        <f t="shared" si="185"/>
        <v>0</v>
      </c>
      <c r="L217" s="68">
        <f t="shared" si="185"/>
        <v>0</v>
      </c>
      <c r="M217" s="68">
        <f t="shared" si="185"/>
        <v>0</v>
      </c>
      <c r="N217" s="68">
        <f t="shared" si="185"/>
        <v>0</v>
      </c>
      <c r="O217" s="68">
        <f t="shared" si="185"/>
        <v>900000</v>
      </c>
      <c r="P217" s="68">
        <f t="shared" si="185"/>
        <v>0</v>
      </c>
      <c r="Q217" s="68">
        <f t="shared" si="185"/>
        <v>900000</v>
      </c>
      <c r="R217" s="758">
        <f>P217/O217*100</f>
        <v>0</v>
      </c>
    </row>
    <row r="218" spans="1:18" s="1" customFormat="1" x14ac:dyDescent="0.25">
      <c r="A218" s="464"/>
      <c r="B218" s="336"/>
      <c r="C218" s="336"/>
      <c r="D218" s="336"/>
      <c r="E218" s="336"/>
      <c r="F218" s="336"/>
      <c r="G218" s="336"/>
      <c r="H218" s="23">
        <v>922</v>
      </c>
      <c r="I218" s="8" t="s">
        <v>108</v>
      </c>
      <c r="J218" s="12">
        <f t="shared" ref="J218:O218" si="186">SUM(J219+J220)</f>
        <v>610476</v>
      </c>
      <c r="K218" s="12">
        <f t="shared" si="186"/>
        <v>0</v>
      </c>
      <c r="L218" s="12">
        <f t="shared" si="186"/>
        <v>0</v>
      </c>
      <c r="M218" s="12">
        <f t="shared" si="186"/>
        <v>0</v>
      </c>
      <c r="N218" s="12">
        <f t="shared" si="186"/>
        <v>0</v>
      </c>
      <c r="O218" s="12">
        <f t="shared" si="186"/>
        <v>900000</v>
      </c>
      <c r="P218" s="12">
        <f t="shared" ref="P218:Q218" si="187">SUM(P219+P220)</f>
        <v>0</v>
      </c>
      <c r="Q218" s="12">
        <f t="shared" si="187"/>
        <v>900000</v>
      </c>
      <c r="R218" s="748">
        <f>K218/J218*100</f>
        <v>0</v>
      </c>
    </row>
    <row r="219" spans="1:18" s="40" customFormat="1" x14ac:dyDescent="0.25">
      <c r="A219" s="472"/>
      <c r="B219" s="36"/>
      <c r="C219" s="36"/>
      <c r="D219" s="36"/>
      <c r="E219" s="36"/>
      <c r="F219" s="36"/>
      <c r="G219" s="36"/>
      <c r="H219" s="37">
        <v>9221</v>
      </c>
      <c r="I219" s="38" t="s">
        <v>409</v>
      </c>
      <c r="J219" s="39">
        <v>610476</v>
      </c>
      <c r="K219" s="39">
        <v>0</v>
      </c>
      <c r="L219" s="39">
        <v>0</v>
      </c>
      <c r="M219" s="39">
        <v>0</v>
      </c>
      <c r="N219" s="39">
        <v>0</v>
      </c>
      <c r="O219" s="353">
        <v>900000</v>
      </c>
      <c r="P219" s="353">
        <v>0</v>
      </c>
      <c r="Q219" s="353">
        <f>SUM(O219+P219)</f>
        <v>900000</v>
      </c>
      <c r="R219" s="748">
        <v>0</v>
      </c>
    </row>
    <row r="220" spans="1:18" ht="13.8" thickBot="1" x14ac:dyDescent="0.3">
      <c r="A220" s="473"/>
      <c r="B220" s="249"/>
      <c r="C220" s="249"/>
      <c r="D220" s="249"/>
      <c r="E220" s="249"/>
      <c r="F220" s="249"/>
      <c r="G220" s="249"/>
      <c r="H220" s="30">
        <v>9222</v>
      </c>
      <c r="I220" s="31" t="s">
        <v>410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770">
        <v>0</v>
      </c>
    </row>
    <row r="221" spans="1:18" x14ac:dyDescent="0.25">
      <c r="I221" s="4"/>
      <c r="K221" s="3"/>
    </row>
    <row r="222" spans="1:18" ht="15.6" x14ac:dyDescent="0.25">
      <c r="H222" s="566"/>
      <c r="I222" s="4"/>
      <c r="K222" s="3"/>
    </row>
    <row r="223" spans="1:18" x14ac:dyDescent="0.25">
      <c r="I223" s="4"/>
      <c r="K223" s="3"/>
    </row>
    <row r="224" spans="1:18" s="458" customFormat="1" ht="12" x14ac:dyDescent="0.25">
      <c r="H224" s="459" t="s">
        <v>501</v>
      </c>
      <c r="I224" s="460"/>
      <c r="K224" s="461"/>
      <c r="O224" s="180"/>
      <c r="P224" s="180"/>
      <c r="Q224" s="180"/>
    </row>
    <row r="225" spans="9:18" s="458" customFormat="1" ht="11.4" x14ac:dyDescent="0.2">
      <c r="I225" s="458" t="s">
        <v>494</v>
      </c>
      <c r="O225" s="180"/>
      <c r="P225" s="180"/>
      <c r="Q225" s="180"/>
    </row>
    <row r="226" spans="9:18" s="458" customFormat="1" ht="11.4" x14ac:dyDescent="0.2">
      <c r="I226" s="458" t="s">
        <v>495</v>
      </c>
      <c r="O226" s="180"/>
      <c r="P226" s="180"/>
      <c r="Q226" s="180"/>
    </row>
    <row r="227" spans="9:18" s="458" customFormat="1" ht="11.4" x14ac:dyDescent="0.2">
      <c r="I227" s="458" t="s">
        <v>496</v>
      </c>
      <c r="O227" s="180"/>
      <c r="P227" s="180"/>
      <c r="Q227" s="180"/>
    </row>
    <row r="228" spans="9:18" s="458" customFormat="1" ht="11.4" x14ac:dyDescent="0.2">
      <c r="I228" s="458" t="s">
        <v>497</v>
      </c>
      <c r="O228" s="180"/>
      <c r="P228" s="180"/>
      <c r="Q228" s="180"/>
    </row>
    <row r="229" spans="9:18" s="458" customFormat="1" ht="11.4" x14ac:dyDescent="0.2">
      <c r="I229" s="458" t="s">
        <v>498</v>
      </c>
      <c r="O229" s="180"/>
      <c r="P229" s="180"/>
      <c r="Q229" s="180"/>
    </row>
    <row r="230" spans="9:18" s="458" customFormat="1" ht="11.4" x14ac:dyDescent="0.2">
      <c r="I230" s="826" t="s">
        <v>499</v>
      </c>
      <c r="J230" s="826"/>
      <c r="K230" s="826"/>
      <c r="L230" s="826"/>
      <c r="M230" s="826"/>
      <c r="N230" s="826"/>
      <c r="O230" s="826"/>
      <c r="P230" s="826"/>
      <c r="Q230" s="826"/>
      <c r="R230" s="826"/>
    </row>
    <row r="231" spans="9:18" s="458" customFormat="1" ht="11.4" x14ac:dyDescent="0.2">
      <c r="I231" s="458" t="s">
        <v>500</v>
      </c>
      <c r="O231" s="180"/>
      <c r="P231" s="180"/>
      <c r="Q231" s="180"/>
    </row>
    <row r="232" spans="9:18" s="458" customFormat="1" ht="11.4" x14ac:dyDescent="0.2">
      <c r="I232" s="458" t="s">
        <v>549</v>
      </c>
      <c r="O232" s="180"/>
      <c r="P232" s="180"/>
      <c r="Q232" s="180"/>
    </row>
  </sheetData>
  <mergeCells count="11">
    <mergeCell ref="I230:R230"/>
    <mergeCell ref="H30:I30"/>
    <mergeCell ref="A11:G11"/>
    <mergeCell ref="A2:I2"/>
    <mergeCell ref="A6:R6"/>
    <mergeCell ref="A7:R7"/>
    <mergeCell ref="A9:I9"/>
    <mergeCell ref="A32:R32"/>
    <mergeCell ref="A13:R13"/>
    <mergeCell ref="A22:R22"/>
    <mergeCell ref="A27:R27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portrait" horizontalDpi="300" verticalDpi="300" r:id="rId1"/>
  <headerFooter alignWithMargins="0">
    <oddFooter>Stranica &amp;P</oddFooter>
  </headerFooter>
  <rowBreaks count="7" manualBreakCount="7">
    <brk id="32" max="17" man="1"/>
    <brk id="67" max="17" man="1"/>
    <brk id="97" max="17" man="1"/>
    <brk id="127" max="17" man="1"/>
    <brk id="155" max="17" man="1"/>
    <brk id="194" max="17" man="1"/>
    <brk id="21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17"/>
  <sheetViews>
    <sheetView view="pageBreakPreview" topLeftCell="A588" zoomScale="85" zoomScaleNormal="85" zoomScaleSheetLayoutView="85" workbookViewId="0">
      <selection activeCell="I269" sqref="I269"/>
    </sheetView>
  </sheetViews>
  <sheetFormatPr defaultRowHeight="13.2" x14ac:dyDescent="0.25"/>
  <cols>
    <col min="1" max="1" width="12.88671875" customWidth="1"/>
    <col min="2" max="2" width="6.33203125" customWidth="1"/>
    <col min="3" max="3" width="8.6640625" customWidth="1"/>
    <col min="4" max="4" width="67.44140625" customWidth="1"/>
    <col min="5" max="5" width="0.33203125" hidden="1" customWidth="1"/>
    <col min="6" max="7" width="21.5546875" style="537" hidden="1" customWidth="1"/>
    <col min="8" max="10" width="21.5546875" style="40" customWidth="1"/>
    <col min="11" max="11" width="21.5546875" style="537" hidden="1" customWidth="1"/>
    <col min="12" max="12" width="10.109375" style="417" customWidth="1"/>
  </cols>
  <sheetData>
    <row r="1" spans="1:12" ht="13.8" x14ac:dyDescent="0.25">
      <c r="A1" s="884"/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</row>
    <row r="2" spans="1:12" ht="13.8" x14ac:dyDescent="0.25">
      <c r="A2" s="885"/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</row>
    <row r="3" spans="1:12" ht="18" customHeight="1" x14ac:dyDescent="0.3">
      <c r="A3" s="886" t="s">
        <v>477</v>
      </c>
      <c r="B3" s="886"/>
      <c r="C3" s="886"/>
      <c r="D3" s="886"/>
      <c r="E3" s="886"/>
      <c r="F3" s="886"/>
      <c r="G3" s="552"/>
      <c r="H3" s="552"/>
      <c r="I3" s="552"/>
      <c r="J3" s="552"/>
      <c r="K3" s="561"/>
      <c r="L3" s="431"/>
    </row>
    <row r="4" spans="1:12" ht="17.399999999999999" customHeight="1" thickBot="1" x14ac:dyDescent="0.3">
      <c r="A4" s="432"/>
      <c r="B4" s="432"/>
      <c r="C4" s="432"/>
      <c r="D4" s="432"/>
      <c r="E4" s="432"/>
      <c r="F4" s="525"/>
      <c r="G4" s="525"/>
      <c r="H4" s="432"/>
      <c r="I4" s="432"/>
      <c r="J4" s="432"/>
      <c r="K4" s="525"/>
      <c r="L4" s="432"/>
    </row>
    <row r="5" spans="1:12" s="359" customFormat="1" ht="64.2" customHeight="1" thickBot="1" x14ac:dyDescent="0.3">
      <c r="A5" s="411" t="s">
        <v>172</v>
      </c>
      <c r="B5" s="441" t="s">
        <v>109</v>
      </c>
      <c r="C5" s="412" t="s">
        <v>10</v>
      </c>
      <c r="D5" s="457" t="s">
        <v>173</v>
      </c>
      <c r="E5" s="413" t="s">
        <v>175</v>
      </c>
      <c r="F5" s="433" t="s">
        <v>507</v>
      </c>
      <c r="G5" s="433" t="s">
        <v>506</v>
      </c>
      <c r="H5" s="433" t="s">
        <v>600</v>
      </c>
      <c r="I5" s="433" t="s">
        <v>677</v>
      </c>
      <c r="J5" s="433" t="s">
        <v>678</v>
      </c>
      <c r="K5" s="568" t="s">
        <v>518</v>
      </c>
      <c r="L5" s="412" t="s">
        <v>550</v>
      </c>
    </row>
    <row r="6" spans="1:12" s="210" customFormat="1" ht="15" thickTop="1" thickBot="1" x14ac:dyDescent="0.3">
      <c r="A6" s="558"/>
      <c r="B6" s="559"/>
      <c r="C6" s="409"/>
      <c r="D6" s="410"/>
      <c r="E6" s="410"/>
      <c r="F6" s="410"/>
      <c r="G6" s="410"/>
      <c r="H6" s="410">
        <v>1</v>
      </c>
      <c r="I6" s="410">
        <v>2</v>
      </c>
      <c r="J6" s="410">
        <v>3</v>
      </c>
      <c r="K6" s="560">
        <v>6</v>
      </c>
      <c r="L6" s="410">
        <v>4</v>
      </c>
    </row>
    <row r="7" spans="1:12" s="557" customFormat="1" ht="21.6" thickBot="1" x14ac:dyDescent="0.3">
      <c r="A7" s="890" t="s">
        <v>442</v>
      </c>
      <c r="B7" s="891"/>
      <c r="C7" s="891"/>
      <c r="D7" s="892"/>
      <c r="E7" s="543" t="e">
        <f>SUM(E8+#REF!+#REF!+#REF!+#REF!+#REF!+#REF!+#REF!+#REF!+#REF!)</f>
        <v>#REF!</v>
      </c>
      <c r="F7" s="543" t="e">
        <f t="shared" ref="F7:K7" si="0">SUM(F8)</f>
        <v>#REF!</v>
      </c>
      <c r="G7" s="543" t="e">
        <f t="shared" si="0"/>
        <v>#REF!</v>
      </c>
      <c r="H7" s="543">
        <f t="shared" si="0"/>
        <v>3638360</v>
      </c>
      <c r="I7" s="543">
        <f t="shared" si="0"/>
        <v>46800</v>
      </c>
      <c r="J7" s="543">
        <f t="shared" si="0"/>
        <v>3685160</v>
      </c>
      <c r="K7" s="556" t="e">
        <f t="shared" si="0"/>
        <v>#REF!</v>
      </c>
      <c r="L7" s="738">
        <f>AVERAGE(J7/H7*100)</f>
        <v>101.28629382469026</v>
      </c>
    </row>
    <row r="8" spans="1:12" s="419" customFormat="1" ht="43.95" customHeight="1" thickBot="1" x14ac:dyDescent="0.3">
      <c r="A8" s="887" t="s">
        <v>443</v>
      </c>
      <c r="B8" s="888"/>
      <c r="C8" s="888"/>
      <c r="D8" s="889"/>
      <c r="E8" s="418">
        <v>1114522.06</v>
      </c>
      <c r="F8" s="418" t="e">
        <f t="shared" ref="F8:I8" si="1">SUM(F615)</f>
        <v>#REF!</v>
      </c>
      <c r="G8" s="418" t="e">
        <f t="shared" si="1"/>
        <v>#REF!</v>
      </c>
      <c r="H8" s="418">
        <f t="shared" si="1"/>
        <v>3638360</v>
      </c>
      <c r="I8" s="418">
        <f t="shared" si="1"/>
        <v>46800</v>
      </c>
      <c r="J8" s="418">
        <f t="shared" ref="J8" si="2">SUM(J615)</f>
        <v>3685160</v>
      </c>
      <c r="K8" s="526" t="e">
        <f t="shared" ref="K8" si="3">SUM(K615)</f>
        <v>#REF!</v>
      </c>
      <c r="L8" s="739">
        <f>AVERAGE(J8/H8*100)</f>
        <v>101.28629382469026</v>
      </c>
    </row>
    <row r="9" spans="1:12" s="555" customFormat="1" ht="18" thickBot="1" x14ac:dyDescent="0.3">
      <c r="A9" s="876" t="s">
        <v>504</v>
      </c>
      <c r="B9" s="877"/>
      <c r="C9" s="877"/>
      <c r="D9" s="878"/>
      <c r="E9" s="544">
        <f t="shared" ref="E9:H9" si="4">SUM(E12+E28+E59+E69+E75+E81)</f>
        <v>1114522.06</v>
      </c>
      <c r="F9" s="544">
        <f t="shared" si="4"/>
        <v>1613000</v>
      </c>
      <c r="G9" s="544">
        <f t="shared" si="4"/>
        <v>214081.88997279186</v>
      </c>
      <c r="H9" s="544">
        <f t="shared" si="4"/>
        <v>340050</v>
      </c>
      <c r="I9" s="544">
        <f t="shared" ref="I9:K9" si="5">SUM(I12+I28+I59+I69+I75+I81)</f>
        <v>30500</v>
      </c>
      <c r="J9" s="544">
        <f t="shared" si="5"/>
        <v>370550</v>
      </c>
      <c r="K9" s="549">
        <f t="shared" si="5"/>
        <v>2788141.7249999996</v>
      </c>
      <c r="L9" s="733">
        <f>AVERAGE(J9/H9*100)</f>
        <v>108.96926922511396</v>
      </c>
    </row>
    <row r="10" spans="1:12" ht="13.8" x14ac:dyDescent="0.25">
      <c r="A10" s="405"/>
      <c r="B10" s="392"/>
      <c r="C10" s="392"/>
      <c r="D10" s="408" t="s">
        <v>178</v>
      </c>
      <c r="E10" s="393"/>
      <c r="F10" s="394"/>
      <c r="G10" s="394"/>
      <c r="H10" s="394"/>
      <c r="I10" s="394"/>
      <c r="J10" s="394"/>
      <c r="K10" s="528"/>
      <c r="L10" s="861">
        <f>AVERAGE(J12/H12*100)</f>
        <v>106.79669030732862</v>
      </c>
    </row>
    <row r="11" spans="1:12" ht="13.8" x14ac:dyDescent="0.25">
      <c r="A11" s="401"/>
      <c r="B11" s="40"/>
      <c r="C11" s="40"/>
      <c r="D11" s="395" t="s">
        <v>651</v>
      </c>
      <c r="E11" s="379"/>
      <c r="F11" s="372"/>
      <c r="G11" s="372"/>
      <c r="H11" s="372"/>
      <c r="I11" s="372"/>
      <c r="J11" s="372"/>
      <c r="K11" s="529"/>
      <c r="L11" s="850"/>
    </row>
    <row r="12" spans="1:12" s="97" customFormat="1" ht="15.6" x14ac:dyDescent="0.3">
      <c r="A12" s="420"/>
      <c r="B12" s="421"/>
      <c r="C12" s="421"/>
      <c r="D12" s="422" t="s">
        <v>388</v>
      </c>
      <c r="E12" s="423">
        <f t="shared" ref="E12:H12" si="6">SUM(E13+E20)</f>
        <v>524300</v>
      </c>
      <c r="F12" s="424">
        <f t="shared" si="6"/>
        <v>779000</v>
      </c>
      <c r="G12" s="424">
        <f t="shared" si="6"/>
        <v>103391.06775499371</v>
      </c>
      <c r="H12" s="424">
        <f t="shared" si="6"/>
        <v>169200</v>
      </c>
      <c r="I12" s="424">
        <f t="shared" ref="I12:J12" si="7">SUM(I13+I20)</f>
        <v>11500</v>
      </c>
      <c r="J12" s="424">
        <f t="shared" si="7"/>
        <v>180700</v>
      </c>
      <c r="K12" s="530">
        <f t="shared" ref="K12" si="8">SUM(K13+K20)</f>
        <v>1361484.15</v>
      </c>
      <c r="L12" s="851"/>
    </row>
    <row r="13" spans="1:12" s="28" customFormat="1" ht="13.8" x14ac:dyDescent="0.25">
      <c r="A13" s="360" t="s">
        <v>389</v>
      </c>
      <c r="B13" s="445"/>
      <c r="C13" s="391">
        <v>31</v>
      </c>
      <c r="D13" s="369" t="s">
        <v>41</v>
      </c>
      <c r="E13" s="381">
        <f t="shared" ref="E13:J13" si="9">SUM(E14+E16+E18)</f>
        <v>482800</v>
      </c>
      <c r="F13" s="381">
        <f t="shared" si="9"/>
        <v>723000</v>
      </c>
      <c r="G13" s="381">
        <f t="shared" si="9"/>
        <v>95958.590483774649</v>
      </c>
      <c r="H13" s="381">
        <f t="shared" si="9"/>
        <v>159200</v>
      </c>
      <c r="I13" s="381">
        <f t="shared" si="9"/>
        <v>11500</v>
      </c>
      <c r="J13" s="381">
        <f t="shared" si="9"/>
        <v>170700</v>
      </c>
      <c r="K13" s="531">
        <f t="shared" ref="K13" si="10">SUM(K14+K16+K18)</f>
        <v>1286139.1499999999</v>
      </c>
      <c r="L13" s="734">
        <f>AVERAGE(J13/H13*100)</f>
        <v>107.22361809045226</v>
      </c>
    </row>
    <row r="14" spans="1:12" ht="13.8" x14ac:dyDescent="0.25">
      <c r="A14" s="371" t="s">
        <v>389</v>
      </c>
      <c r="B14" s="446"/>
      <c r="C14" s="367">
        <v>311</v>
      </c>
      <c r="D14" s="368" t="s">
        <v>183</v>
      </c>
      <c r="E14" s="363">
        <v>400000</v>
      </c>
      <c r="F14" s="363">
        <f t="shared" ref="F14:K14" si="11">F15</f>
        <v>560000</v>
      </c>
      <c r="G14" s="363">
        <f t="shared" si="11"/>
        <v>74324.772712190592</v>
      </c>
      <c r="H14" s="363">
        <f t="shared" si="11"/>
        <v>129000</v>
      </c>
      <c r="I14" s="363">
        <f t="shared" si="11"/>
        <v>8000</v>
      </c>
      <c r="J14" s="363">
        <f t="shared" si="11"/>
        <v>137000</v>
      </c>
      <c r="K14" s="532">
        <f t="shared" si="11"/>
        <v>1032226.5</v>
      </c>
      <c r="L14" s="384">
        <f t="shared" ref="L14:L25" si="12">AVERAGE(J14/H14*100)</f>
        <v>106.20155038759691</v>
      </c>
    </row>
    <row r="15" spans="1:12" ht="13.8" x14ac:dyDescent="0.25">
      <c r="A15" s="371" t="s">
        <v>389</v>
      </c>
      <c r="B15" s="446"/>
      <c r="C15" s="367">
        <v>3111</v>
      </c>
      <c r="D15" s="368" t="s">
        <v>184</v>
      </c>
      <c r="E15" s="363">
        <v>400000</v>
      </c>
      <c r="F15" s="363">
        <v>560000</v>
      </c>
      <c r="G15" s="363">
        <f>F15/7.5345</f>
        <v>74324.772712190592</v>
      </c>
      <c r="H15" s="363">
        <v>129000</v>
      </c>
      <c r="I15" s="363">
        <v>8000</v>
      </c>
      <c r="J15" s="363">
        <f>SUM(H15+I15)</f>
        <v>137000</v>
      </c>
      <c r="K15" s="532">
        <f>J15*7.5345</f>
        <v>1032226.5</v>
      </c>
      <c r="L15" s="384">
        <f t="shared" si="12"/>
        <v>106.20155038759691</v>
      </c>
    </row>
    <row r="16" spans="1:12" ht="13.8" x14ac:dyDescent="0.25">
      <c r="A16" s="371" t="s">
        <v>389</v>
      </c>
      <c r="B16" s="446"/>
      <c r="C16" s="367">
        <v>312</v>
      </c>
      <c r="D16" s="368" t="s">
        <v>43</v>
      </c>
      <c r="E16" s="363">
        <v>14000</v>
      </c>
      <c r="F16" s="363">
        <f t="shared" ref="F16:G16" si="13">F17</f>
        <v>70000</v>
      </c>
      <c r="G16" s="363">
        <f t="shared" si="13"/>
        <v>9290.596589023824</v>
      </c>
      <c r="H16" s="363">
        <f>H17</f>
        <v>11400</v>
      </c>
      <c r="I16" s="363">
        <f t="shared" ref="I16:J16" si="14">I17</f>
        <v>1100</v>
      </c>
      <c r="J16" s="363">
        <f t="shared" si="14"/>
        <v>12500</v>
      </c>
      <c r="K16" s="363">
        <f t="shared" ref="K16" si="15">K17</f>
        <v>94181.25</v>
      </c>
      <c r="L16" s="384">
        <f t="shared" si="12"/>
        <v>109.64912280701755</v>
      </c>
    </row>
    <row r="17" spans="1:12" ht="13.8" x14ac:dyDescent="0.25">
      <c r="A17" s="371" t="s">
        <v>389</v>
      </c>
      <c r="B17" s="446"/>
      <c r="C17" s="367">
        <v>3121</v>
      </c>
      <c r="D17" s="368" t="s">
        <v>43</v>
      </c>
      <c r="E17" s="363">
        <v>14000</v>
      </c>
      <c r="F17" s="363">
        <v>70000</v>
      </c>
      <c r="G17" s="363">
        <f>F17/7.5345</f>
        <v>9290.596589023824</v>
      </c>
      <c r="H17" s="363">
        <v>11400</v>
      </c>
      <c r="I17" s="363">
        <v>1100</v>
      </c>
      <c r="J17" s="363">
        <f>SUM(H17+I17)</f>
        <v>12500</v>
      </c>
      <c r="K17" s="532">
        <f>J17*7.5345</f>
        <v>94181.25</v>
      </c>
      <c r="L17" s="384">
        <f t="shared" si="12"/>
        <v>109.64912280701755</v>
      </c>
    </row>
    <row r="18" spans="1:12" ht="13.8" x14ac:dyDescent="0.25">
      <c r="A18" s="371" t="s">
        <v>389</v>
      </c>
      <c r="B18" s="446"/>
      <c r="C18" s="367">
        <v>313</v>
      </c>
      <c r="D18" s="368" t="s">
        <v>44</v>
      </c>
      <c r="E18" s="363">
        <v>68800</v>
      </c>
      <c r="F18" s="363">
        <f t="shared" ref="F18:K18" si="16">F19</f>
        <v>93000</v>
      </c>
      <c r="G18" s="363">
        <f t="shared" si="16"/>
        <v>12343.221182560223</v>
      </c>
      <c r="H18" s="363">
        <f t="shared" si="16"/>
        <v>18800</v>
      </c>
      <c r="I18" s="363">
        <f t="shared" si="16"/>
        <v>2400</v>
      </c>
      <c r="J18" s="363">
        <f t="shared" si="16"/>
        <v>21200</v>
      </c>
      <c r="K18" s="532">
        <f t="shared" si="16"/>
        <v>159731.40000000002</v>
      </c>
      <c r="L18" s="384">
        <f t="shared" si="12"/>
        <v>112.7659574468085</v>
      </c>
    </row>
    <row r="19" spans="1:12" ht="13.8" x14ac:dyDescent="0.25">
      <c r="A19" s="371" t="s">
        <v>389</v>
      </c>
      <c r="B19" s="446"/>
      <c r="C19" s="367">
        <v>3132</v>
      </c>
      <c r="D19" s="368" t="s">
        <v>185</v>
      </c>
      <c r="E19" s="363">
        <v>62000</v>
      </c>
      <c r="F19" s="363">
        <v>93000</v>
      </c>
      <c r="G19" s="363">
        <f>F19/7.5345</f>
        <v>12343.221182560223</v>
      </c>
      <c r="H19" s="363">
        <v>18800</v>
      </c>
      <c r="I19" s="363">
        <v>2400</v>
      </c>
      <c r="J19" s="363">
        <f>SUM(H19+I19)</f>
        <v>21200</v>
      </c>
      <c r="K19" s="532">
        <f>J19*7.5345</f>
        <v>159731.40000000002</v>
      </c>
      <c r="L19" s="384">
        <f t="shared" si="12"/>
        <v>112.7659574468085</v>
      </c>
    </row>
    <row r="20" spans="1:12" s="28" customFormat="1" ht="13.8" x14ac:dyDescent="0.25">
      <c r="A20" s="402" t="s">
        <v>389</v>
      </c>
      <c r="B20" s="447"/>
      <c r="C20" s="354">
        <v>32</v>
      </c>
      <c r="D20" s="365" t="s">
        <v>47</v>
      </c>
      <c r="E20" s="362">
        <v>41500</v>
      </c>
      <c r="F20" s="362">
        <f t="shared" ref="F20:K20" si="17">F21</f>
        <v>56000</v>
      </c>
      <c r="G20" s="362">
        <f t="shared" si="17"/>
        <v>7432.4772712190588</v>
      </c>
      <c r="H20" s="362">
        <f t="shared" si="17"/>
        <v>10000</v>
      </c>
      <c r="I20" s="362">
        <f t="shared" si="17"/>
        <v>0</v>
      </c>
      <c r="J20" s="362">
        <f t="shared" si="17"/>
        <v>10000</v>
      </c>
      <c r="K20" s="533">
        <f t="shared" si="17"/>
        <v>75345</v>
      </c>
      <c r="L20" s="734">
        <f t="shared" si="12"/>
        <v>100</v>
      </c>
    </row>
    <row r="21" spans="1:12" ht="13.8" x14ac:dyDescent="0.25">
      <c r="A21" s="371" t="s">
        <v>389</v>
      </c>
      <c r="B21" s="446"/>
      <c r="C21" s="367">
        <v>321</v>
      </c>
      <c r="D21" s="368" t="s">
        <v>48</v>
      </c>
      <c r="E21" s="363">
        <f t="shared" ref="E21:J21" si="18">SUM(E22:E25)</f>
        <v>41500</v>
      </c>
      <c r="F21" s="363">
        <f t="shared" si="18"/>
        <v>56000</v>
      </c>
      <c r="G21" s="363">
        <f t="shared" si="18"/>
        <v>7432.4772712190588</v>
      </c>
      <c r="H21" s="363">
        <f t="shared" si="18"/>
        <v>10000</v>
      </c>
      <c r="I21" s="363">
        <f t="shared" si="18"/>
        <v>0</v>
      </c>
      <c r="J21" s="363">
        <f t="shared" si="18"/>
        <v>10000</v>
      </c>
      <c r="K21" s="532">
        <f t="shared" ref="K21" si="19">SUM(K22:K25)</f>
        <v>75345</v>
      </c>
      <c r="L21" s="384">
        <f t="shared" si="12"/>
        <v>100</v>
      </c>
    </row>
    <row r="22" spans="1:12" ht="13.8" x14ac:dyDescent="0.25">
      <c r="A22" s="371" t="s">
        <v>389</v>
      </c>
      <c r="B22" s="446"/>
      <c r="C22" s="367">
        <v>3211</v>
      </c>
      <c r="D22" s="368" t="s">
        <v>49</v>
      </c>
      <c r="E22" s="363">
        <v>7500</v>
      </c>
      <c r="F22" s="363">
        <v>10000</v>
      </c>
      <c r="G22" s="363">
        <f>F22/7.5345</f>
        <v>1327.2280841462605</v>
      </c>
      <c r="H22" s="363">
        <v>2000</v>
      </c>
      <c r="I22" s="363">
        <v>0</v>
      </c>
      <c r="J22" s="363">
        <f>SUM(H22+I22)</f>
        <v>2000</v>
      </c>
      <c r="K22" s="532">
        <f>J22*7.5345</f>
        <v>15069</v>
      </c>
      <c r="L22" s="384">
        <f t="shared" si="12"/>
        <v>100</v>
      </c>
    </row>
    <row r="23" spans="1:12" ht="13.8" x14ac:dyDescent="0.25">
      <c r="A23" s="371" t="s">
        <v>389</v>
      </c>
      <c r="B23" s="446"/>
      <c r="C23" s="367">
        <v>3212</v>
      </c>
      <c r="D23" s="368" t="s">
        <v>50</v>
      </c>
      <c r="E23" s="363">
        <v>18000</v>
      </c>
      <c r="F23" s="363">
        <v>30000</v>
      </c>
      <c r="G23" s="363">
        <f>F23/7.5345</f>
        <v>3981.6842524387812</v>
      </c>
      <c r="H23" s="363">
        <v>5000</v>
      </c>
      <c r="I23" s="363">
        <v>0</v>
      </c>
      <c r="J23" s="363">
        <f t="shared" ref="J23:J25" si="20">SUM(H23+I23)</f>
        <v>5000</v>
      </c>
      <c r="K23" s="532">
        <f>J23*7.5345</f>
        <v>37672.5</v>
      </c>
      <c r="L23" s="384">
        <f t="shared" si="12"/>
        <v>100</v>
      </c>
    </row>
    <row r="24" spans="1:12" ht="13.8" x14ac:dyDescent="0.25">
      <c r="A24" s="371" t="s">
        <v>389</v>
      </c>
      <c r="B24" s="446"/>
      <c r="C24" s="367">
        <v>3213</v>
      </c>
      <c r="D24" s="368" t="s">
        <v>51</v>
      </c>
      <c r="E24" s="363">
        <v>10000</v>
      </c>
      <c r="F24" s="363">
        <v>10000</v>
      </c>
      <c r="G24" s="363">
        <f>F24/7.5345</f>
        <v>1327.2280841462605</v>
      </c>
      <c r="H24" s="363">
        <v>2000</v>
      </c>
      <c r="I24" s="363">
        <v>0</v>
      </c>
      <c r="J24" s="363">
        <f t="shared" si="20"/>
        <v>2000</v>
      </c>
      <c r="K24" s="532">
        <f>J24*7.5345</f>
        <v>15069</v>
      </c>
      <c r="L24" s="384">
        <f t="shared" si="12"/>
        <v>100</v>
      </c>
    </row>
    <row r="25" spans="1:12" s="390" customFormat="1" ht="14.4" thickBot="1" x14ac:dyDescent="0.3">
      <c r="A25" s="403" t="s">
        <v>389</v>
      </c>
      <c r="B25" s="448"/>
      <c r="C25" s="386">
        <v>3214</v>
      </c>
      <c r="D25" s="387" t="s">
        <v>187</v>
      </c>
      <c r="E25" s="388">
        <v>6000</v>
      </c>
      <c r="F25" s="388">
        <v>6000</v>
      </c>
      <c r="G25" s="388">
        <f>F25/7.5345</f>
        <v>796.33685048775624</v>
      </c>
      <c r="H25" s="388">
        <v>1000</v>
      </c>
      <c r="I25" s="388">
        <v>0</v>
      </c>
      <c r="J25" s="363">
        <f t="shared" si="20"/>
        <v>1000</v>
      </c>
      <c r="K25" s="534">
        <f>J25*7.5345</f>
        <v>7534.5</v>
      </c>
      <c r="L25" s="384">
        <f t="shared" si="12"/>
        <v>100</v>
      </c>
    </row>
    <row r="26" spans="1:12" ht="14.4" thickTop="1" x14ac:dyDescent="0.25">
      <c r="A26" s="401"/>
      <c r="B26" s="40"/>
      <c r="C26" s="40"/>
      <c r="D26" s="395" t="s">
        <v>178</v>
      </c>
      <c r="E26" s="385"/>
      <c r="F26" s="529"/>
      <c r="G26" s="529"/>
      <c r="H26" s="372"/>
      <c r="I26" s="372"/>
      <c r="J26" s="372"/>
      <c r="K26" s="529"/>
      <c r="L26" s="849">
        <f>AVERAGE(J28/H28*100)</f>
        <v>113.97298556124827</v>
      </c>
    </row>
    <row r="27" spans="1:12" ht="13.8" x14ac:dyDescent="0.25">
      <c r="A27" s="401"/>
      <c r="B27" s="40"/>
      <c r="C27" s="40"/>
      <c r="D27" s="396" t="s">
        <v>652</v>
      </c>
      <c r="E27" s="379"/>
      <c r="F27" s="372"/>
      <c r="G27" s="372"/>
      <c r="H27" s="372"/>
      <c r="I27" s="372"/>
      <c r="J27" s="372"/>
      <c r="K27" s="529"/>
      <c r="L27" s="850"/>
    </row>
    <row r="28" spans="1:12" s="97" customFormat="1" ht="15.6" x14ac:dyDescent="0.3">
      <c r="A28" s="420"/>
      <c r="B28" s="421"/>
      <c r="C28" s="421"/>
      <c r="D28" s="422" t="s">
        <v>416</v>
      </c>
      <c r="E28" s="423">
        <f t="shared" ref="E28:H28" si="21">SUM(E29+E52)</f>
        <v>424222.06</v>
      </c>
      <c r="F28" s="424">
        <f t="shared" si="21"/>
        <v>726500</v>
      </c>
      <c r="G28" s="424">
        <f t="shared" si="21"/>
        <v>96423.120313225838</v>
      </c>
      <c r="H28" s="424">
        <f t="shared" si="21"/>
        <v>107350</v>
      </c>
      <c r="I28" s="424">
        <f t="shared" ref="I28:J28" si="22">SUM(I29+I52)</f>
        <v>15000</v>
      </c>
      <c r="J28" s="424">
        <f t="shared" si="22"/>
        <v>122350</v>
      </c>
      <c r="K28" s="530">
        <f t="shared" ref="K28" si="23">SUM(K29+K52)</f>
        <v>918078.82499999995</v>
      </c>
      <c r="L28" s="851"/>
    </row>
    <row r="29" spans="1:12" s="28" customFormat="1" ht="13.8" x14ac:dyDescent="0.25">
      <c r="A29" s="360" t="s">
        <v>390</v>
      </c>
      <c r="B29" s="445"/>
      <c r="C29" s="391">
        <v>32</v>
      </c>
      <c r="D29" s="369" t="s">
        <v>47</v>
      </c>
      <c r="E29" s="381">
        <f t="shared" ref="E29:H29" si="24">SUM(E30+E36+E45+E47)</f>
        <v>407022.06</v>
      </c>
      <c r="F29" s="381">
        <f t="shared" si="24"/>
        <v>691500</v>
      </c>
      <c r="G29" s="381">
        <f t="shared" si="24"/>
        <v>91777.822018713923</v>
      </c>
      <c r="H29" s="381">
        <f t="shared" si="24"/>
        <v>102750</v>
      </c>
      <c r="I29" s="381">
        <f t="shared" ref="I29:J29" si="25">SUM(I30+I36+I45+I47)</f>
        <v>15000</v>
      </c>
      <c r="J29" s="381">
        <f t="shared" si="25"/>
        <v>117750</v>
      </c>
      <c r="K29" s="531">
        <f t="shared" ref="K29" si="26">SUM(K30+K36+K45+K47)</f>
        <v>883420.125</v>
      </c>
      <c r="L29" s="734">
        <f>AVERAGE(J29/H29*100)</f>
        <v>114.59854014598541</v>
      </c>
    </row>
    <row r="30" spans="1:12" ht="13.8" x14ac:dyDescent="0.25">
      <c r="A30" s="371" t="s">
        <v>390</v>
      </c>
      <c r="B30" s="446"/>
      <c r="C30" s="367">
        <v>322</v>
      </c>
      <c r="D30" s="368" t="s">
        <v>52</v>
      </c>
      <c r="E30" s="363">
        <f t="shared" ref="E30:J30" si="27">SUM(E31:E35)</f>
        <v>83022.06</v>
      </c>
      <c r="F30" s="363">
        <f t="shared" si="27"/>
        <v>112000</v>
      </c>
      <c r="G30" s="363">
        <f t="shared" si="27"/>
        <v>14864.954542438118</v>
      </c>
      <c r="H30" s="363">
        <f t="shared" si="27"/>
        <v>16250</v>
      </c>
      <c r="I30" s="363">
        <f t="shared" si="27"/>
        <v>0</v>
      </c>
      <c r="J30" s="363">
        <f t="shared" si="27"/>
        <v>16250</v>
      </c>
      <c r="K30" s="532">
        <f t="shared" ref="K30" si="28">SUM(K31:K35)</f>
        <v>118668.375</v>
      </c>
      <c r="L30" s="384">
        <f t="shared" ref="L30:L56" si="29">AVERAGE(J30/H30*100)</f>
        <v>100</v>
      </c>
    </row>
    <row r="31" spans="1:12" ht="13.8" x14ac:dyDescent="0.25">
      <c r="A31" s="371" t="s">
        <v>390</v>
      </c>
      <c r="B31" s="446"/>
      <c r="C31" s="367">
        <v>3221</v>
      </c>
      <c r="D31" s="368" t="s">
        <v>53</v>
      </c>
      <c r="E31" s="363">
        <v>16000</v>
      </c>
      <c r="F31" s="363">
        <v>25000</v>
      </c>
      <c r="G31" s="363">
        <f>F31/7.5345</f>
        <v>3318.0702103656513</v>
      </c>
      <c r="H31" s="363">
        <v>4000</v>
      </c>
      <c r="I31" s="363">
        <v>0</v>
      </c>
      <c r="J31" s="363">
        <f>SUM(H31+I31)</f>
        <v>4000</v>
      </c>
      <c r="K31" s="532">
        <f>J31*7.5345</f>
        <v>30138</v>
      </c>
      <c r="L31" s="384">
        <f t="shared" si="29"/>
        <v>100</v>
      </c>
    </row>
    <row r="32" spans="1:12" ht="13.8" x14ac:dyDescent="0.25">
      <c r="A32" s="371" t="s">
        <v>390</v>
      </c>
      <c r="B32" s="446"/>
      <c r="C32" s="367">
        <v>3223</v>
      </c>
      <c r="D32" s="368" t="s">
        <v>54</v>
      </c>
      <c r="E32" s="363">
        <v>50000</v>
      </c>
      <c r="F32" s="363">
        <v>70000</v>
      </c>
      <c r="G32" s="363">
        <f>F32/7.5345</f>
        <v>9290.596589023824</v>
      </c>
      <c r="H32" s="363">
        <v>9500</v>
      </c>
      <c r="I32" s="363">
        <v>0</v>
      </c>
      <c r="J32" s="363">
        <f t="shared" ref="J32:J35" si="30">SUM(H32+I32)</f>
        <v>9500</v>
      </c>
      <c r="K32" s="532">
        <f>J32*7.5345</f>
        <v>71577.75</v>
      </c>
      <c r="L32" s="384">
        <f t="shared" si="29"/>
        <v>100</v>
      </c>
    </row>
    <row r="33" spans="1:12" ht="13.8" x14ac:dyDescent="0.25">
      <c r="A33" s="371" t="s">
        <v>390</v>
      </c>
      <c r="B33" s="446"/>
      <c r="C33" s="367">
        <v>3224</v>
      </c>
      <c r="D33" s="368" t="s">
        <v>189</v>
      </c>
      <c r="E33" s="363">
        <v>0</v>
      </c>
      <c r="F33" s="363">
        <v>2000</v>
      </c>
      <c r="G33" s="363">
        <f>F33/7.5345</f>
        <v>265.44561682925212</v>
      </c>
      <c r="H33" s="363">
        <v>250</v>
      </c>
      <c r="I33" s="363">
        <v>0</v>
      </c>
      <c r="J33" s="363">
        <f t="shared" si="30"/>
        <v>250</v>
      </c>
      <c r="K33" s="532">
        <f>J33*7.5345</f>
        <v>1883.625</v>
      </c>
      <c r="L33" s="384">
        <f t="shared" si="29"/>
        <v>100</v>
      </c>
    </row>
    <row r="34" spans="1:12" ht="13.8" x14ac:dyDescent="0.25">
      <c r="A34" s="371" t="s">
        <v>390</v>
      </c>
      <c r="B34" s="446"/>
      <c r="C34" s="367">
        <v>3225</v>
      </c>
      <c r="D34" s="368" t="s">
        <v>190</v>
      </c>
      <c r="E34" s="363">
        <v>15022.06</v>
      </c>
      <c r="F34" s="363">
        <v>15000</v>
      </c>
      <c r="G34" s="363">
        <f>F34/7.5345</f>
        <v>1990.8421262193906</v>
      </c>
      <c r="H34" s="363">
        <v>2000</v>
      </c>
      <c r="I34" s="363">
        <v>0</v>
      </c>
      <c r="J34" s="363">
        <f t="shared" si="30"/>
        <v>2000</v>
      </c>
      <c r="K34" s="532">
        <f>J34*7.5345</f>
        <v>15069</v>
      </c>
      <c r="L34" s="384">
        <f t="shared" si="29"/>
        <v>100</v>
      </c>
    </row>
    <row r="35" spans="1:12" ht="13.8" x14ac:dyDescent="0.25">
      <c r="A35" s="371" t="s">
        <v>390</v>
      </c>
      <c r="B35" s="446"/>
      <c r="C35" s="367">
        <v>3227</v>
      </c>
      <c r="D35" s="368" t="s">
        <v>391</v>
      </c>
      <c r="E35" s="363">
        <v>2000</v>
      </c>
      <c r="F35" s="363">
        <v>0</v>
      </c>
      <c r="G35" s="363">
        <v>0</v>
      </c>
      <c r="H35" s="363">
        <v>500</v>
      </c>
      <c r="I35" s="363">
        <v>0</v>
      </c>
      <c r="J35" s="363">
        <f t="shared" si="30"/>
        <v>500</v>
      </c>
      <c r="K35" s="532">
        <v>0</v>
      </c>
      <c r="L35" s="384">
        <f t="shared" si="29"/>
        <v>100</v>
      </c>
    </row>
    <row r="36" spans="1:12" ht="13.8" x14ac:dyDescent="0.25">
      <c r="A36" s="371" t="s">
        <v>390</v>
      </c>
      <c r="B36" s="446"/>
      <c r="C36" s="367">
        <v>323</v>
      </c>
      <c r="D36" s="368" t="s">
        <v>56</v>
      </c>
      <c r="E36" s="363">
        <f t="shared" ref="E36:J36" si="31">SUM(E37:E44)</f>
        <v>269000</v>
      </c>
      <c r="F36" s="363">
        <f t="shared" si="31"/>
        <v>449500</v>
      </c>
      <c r="G36" s="363">
        <f t="shared" si="31"/>
        <v>59658.902382374406</v>
      </c>
      <c r="H36" s="363">
        <f t="shared" si="31"/>
        <v>62500</v>
      </c>
      <c r="I36" s="363">
        <f t="shared" si="31"/>
        <v>15000</v>
      </c>
      <c r="J36" s="363">
        <f t="shared" si="31"/>
        <v>77500</v>
      </c>
      <c r="K36" s="532">
        <f t="shared" ref="K36" si="32">SUM(K37:K44)</f>
        <v>583923.75</v>
      </c>
      <c r="L36" s="384">
        <f t="shared" si="29"/>
        <v>124</v>
      </c>
    </row>
    <row r="37" spans="1:12" ht="13.8" x14ac:dyDescent="0.25">
      <c r="A37" s="371" t="s">
        <v>390</v>
      </c>
      <c r="B37" s="446"/>
      <c r="C37" s="367">
        <v>3231</v>
      </c>
      <c r="D37" s="368" t="s">
        <v>57</v>
      </c>
      <c r="E37" s="363">
        <v>30000</v>
      </c>
      <c r="F37" s="363">
        <v>45000</v>
      </c>
      <c r="G37" s="363">
        <f t="shared" ref="G37:G44" si="33">F37/7.5345</f>
        <v>5972.5263786581718</v>
      </c>
      <c r="H37" s="363">
        <v>6000</v>
      </c>
      <c r="I37" s="363">
        <v>0</v>
      </c>
      <c r="J37" s="363">
        <f>SUM(H37+I37)</f>
        <v>6000</v>
      </c>
      <c r="K37" s="532">
        <f t="shared" ref="K37:K44" si="34">J37*7.5345</f>
        <v>45207</v>
      </c>
      <c r="L37" s="384">
        <f t="shared" si="29"/>
        <v>100</v>
      </c>
    </row>
    <row r="38" spans="1:12" ht="13.8" x14ac:dyDescent="0.25">
      <c r="A38" s="371" t="s">
        <v>390</v>
      </c>
      <c r="B38" s="446"/>
      <c r="C38" s="367">
        <v>3232</v>
      </c>
      <c r="D38" s="368" t="s">
        <v>392</v>
      </c>
      <c r="E38" s="363">
        <v>5000</v>
      </c>
      <c r="F38" s="363">
        <v>7000</v>
      </c>
      <c r="G38" s="363">
        <f t="shared" si="33"/>
        <v>929.05965890238235</v>
      </c>
      <c r="H38" s="363">
        <v>1000</v>
      </c>
      <c r="I38" s="363">
        <v>500</v>
      </c>
      <c r="J38" s="363">
        <f t="shared" ref="J38:J44" si="35">SUM(H38+I38)</f>
        <v>1500</v>
      </c>
      <c r="K38" s="532">
        <f t="shared" si="34"/>
        <v>11301.75</v>
      </c>
      <c r="L38" s="384">
        <f t="shared" si="29"/>
        <v>150</v>
      </c>
    </row>
    <row r="39" spans="1:12" ht="13.8" x14ac:dyDescent="0.25">
      <c r="A39" s="371" t="s">
        <v>390</v>
      </c>
      <c r="B39" s="446"/>
      <c r="C39" s="367">
        <v>3233</v>
      </c>
      <c r="D39" s="368" t="s">
        <v>59</v>
      </c>
      <c r="E39" s="363">
        <v>25000</v>
      </c>
      <c r="F39" s="363">
        <v>25000</v>
      </c>
      <c r="G39" s="363">
        <f t="shared" si="33"/>
        <v>3318.0702103656513</v>
      </c>
      <c r="H39" s="363">
        <v>5000</v>
      </c>
      <c r="I39" s="363">
        <v>3000</v>
      </c>
      <c r="J39" s="363">
        <f t="shared" si="35"/>
        <v>8000</v>
      </c>
      <c r="K39" s="532">
        <f t="shared" si="34"/>
        <v>60276</v>
      </c>
      <c r="L39" s="384">
        <f t="shared" si="29"/>
        <v>160</v>
      </c>
    </row>
    <row r="40" spans="1:12" ht="13.8" x14ac:dyDescent="0.25">
      <c r="A40" s="371" t="s">
        <v>390</v>
      </c>
      <c r="B40" s="446"/>
      <c r="C40" s="367">
        <v>3234</v>
      </c>
      <c r="D40" s="368" t="s">
        <v>60</v>
      </c>
      <c r="E40" s="363">
        <v>15000</v>
      </c>
      <c r="F40" s="363">
        <v>40000</v>
      </c>
      <c r="G40" s="363">
        <f t="shared" si="33"/>
        <v>5308.9123365850419</v>
      </c>
      <c r="H40" s="363">
        <v>8000</v>
      </c>
      <c r="I40" s="363">
        <v>0</v>
      </c>
      <c r="J40" s="363">
        <f t="shared" si="35"/>
        <v>8000</v>
      </c>
      <c r="K40" s="532">
        <f t="shared" si="34"/>
        <v>60276</v>
      </c>
      <c r="L40" s="384">
        <f t="shared" si="29"/>
        <v>100</v>
      </c>
    </row>
    <row r="41" spans="1:12" ht="13.8" x14ac:dyDescent="0.25">
      <c r="A41" s="371" t="s">
        <v>390</v>
      </c>
      <c r="B41" s="446"/>
      <c r="C41" s="367">
        <v>3236</v>
      </c>
      <c r="D41" s="368" t="s">
        <v>393</v>
      </c>
      <c r="E41" s="363">
        <v>2000</v>
      </c>
      <c r="F41" s="363">
        <v>7500</v>
      </c>
      <c r="G41" s="363">
        <f t="shared" si="33"/>
        <v>995.4210631096953</v>
      </c>
      <c r="H41" s="615">
        <v>0</v>
      </c>
      <c r="I41" s="615">
        <v>1500</v>
      </c>
      <c r="J41" s="363">
        <f t="shared" si="35"/>
        <v>1500</v>
      </c>
      <c r="K41" s="532">
        <f t="shared" si="34"/>
        <v>11301.75</v>
      </c>
      <c r="L41" s="384" t="e">
        <f t="shared" si="29"/>
        <v>#DIV/0!</v>
      </c>
    </row>
    <row r="42" spans="1:12" ht="13.8" x14ac:dyDescent="0.25">
      <c r="A42" s="371" t="s">
        <v>390</v>
      </c>
      <c r="B42" s="446"/>
      <c r="C42" s="367">
        <v>3237</v>
      </c>
      <c r="D42" s="368" t="s">
        <v>62</v>
      </c>
      <c r="E42" s="363">
        <v>140000</v>
      </c>
      <c r="F42" s="363">
        <v>200000</v>
      </c>
      <c r="G42" s="363">
        <f t="shared" si="33"/>
        <v>26544.56168292521</v>
      </c>
      <c r="H42" s="363">
        <v>25000</v>
      </c>
      <c r="I42" s="363">
        <v>10000</v>
      </c>
      <c r="J42" s="363">
        <f t="shared" si="35"/>
        <v>35000</v>
      </c>
      <c r="K42" s="532">
        <f t="shared" si="34"/>
        <v>263707.5</v>
      </c>
      <c r="L42" s="384">
        <f t="shared" si="29"/>
        <v>140</v>
      </c>
    </row>
    <row r="43" spans="1:12" ht="13.8" x14ac:dyDescent="0.25">
      <c r="A43" s="371" t="s">
        <v>390</v>
      </c>
      <c r="B43" s="446"/>
      <c r="C43" s="367">
        <v>3238</v>
      </c>
      <c r="D43" s="368" t="s">
        <v>63</v>
      </c>
      <c r="E43" s="363">
        <v>12000</v>
      </c>
      <c r="F43" s="363">
        <v>25000</v>
      </c>
      <c r="G43" s="363">
        <f t="shared" si="33"/>
        <v>3318.0702103656513</v>
      </c>
      <c r="H43" s="363">
        <v>4000</v>
      </c>
      <c r="I43" s="363">
        <v>0</v>
      </c>
      <c r="J43" s="363">
        <f t="shared" si="35"/>
        <v>4000</v>
      </c>
      <c r="K43" s="532">
        <f t="shared" si="34"/>
        <v>30138</v>
      </c>
      <c r="L43" s="384">
        <f t="shared" si="29"/>
        <v>100</v>
      </c>
    </row>
    <row r="44" spans="1:12" ht="13.8" x14ac:dyDescent="0.25">
      <c r="A44" s="371" t="s">
        <v>390</v>
      </c>
      <c r="B44" s="446"/>
      <c r="C44" s="367">
        <v>3239</v>
      </c>
      <c r="D44" s="368" t="s">
        <v>64</v>
      </c>
      <c r="E44" s="363">
        <v>40000</v>
      </c>
      <c r="F44" s="363">
        <v>100000</v>
      </c>
      <c r="G44" s="363">
        <f t="shared" si="33"/>
        <v>13272.280841462605</v>
      </c>
      <c r="H44" s="363">
        <v>13500</v>
      </c>
      <c r="I44" s="363">
        <v>0</v>
      </c>
      <c r="J44" s="363">
        <f t="shared" si="35"/>
        <v>13500</v>
      </c>
      <c r="K44" s="532">
        <f t="shared" si="34"/>
        <v>101715.75</v>
      </c>
      <c r="L44" s="384">
        <f t="shared" si="29"/>
        <v>100</v>
      </c>
    </row>
    <row r="45" spans="1:12" ht="13.8" x14ac:dyDescent="0.25">
      <c r="A45" s="371" t="s">
        <v>390</v>
      </c>
      <c r="B45" s="446"/>
      <c r="C45" s="367">
        <v>324</v>
      </c>
      <c r="D45" s="368" t="s">
        <v>142</v>
      </c>
      <c r="E45" s="363">
        <v>5000</v>
      </c>
      <c r="F45" s="363">
        <f t="shared" ref="F45:K45" si="36">SUM(F46)</f>
        <v>35000</v>
      </c>
      <c r="G45" s="363">
        <f t="shared" si="36"/>
        <v>4645.298294511912</v>
      </c>
      <c r="H45" s="363">
        <f t="shared" si="36"/>
        <v>6500</v>
      </c>
      <c r="I45" s="363">
        <f t="shared" si="36"/>
        <v>0</v>
      </c>
      <c r="J45" s="363">
        <f t="shared" si="36"/>
        <v>6500</v>
      </c>
      <c r="K45" s="532">
        <f t="shared" si="36"/>
        <v>48974.25</v>
      </c>
      <c r="L45" s="384">
        <f t="shared" si="29"/>
        <v>100</v>
      </c>
    </row>
    <row r="46" spans="1:12" ht="13.8" x14ac:dyDescent="0.25">
      <c r="A46" s="371" t="s">
        <v>390</v>
      </c>
      <c r="B46" s="446"/>
      <c r="C46" s="367">
        <v>3241</v>
      </c>
      <c r="D46" s="368" t="s">
        <v>142</v>
      </c>
      <c r="E46" s="363">
        <v>5000</v>
      </c>
      <c r="F46" s="363">
        <v>35000</v>
      </c>
      <c r="G46" s="363">
        <f>F46/7.5345</f>
        <v>4645.298294511912</v>
      </c>
      <c r="H46" s="363">
        <v>6500</v>
      </c>
      <c r="I46" s="363">
        <v>0</v>
      </c>
      <c r="J46" s="363">
        <f>SUM(H46+I46)</f>
        <v>6500</v>
      </c>
      <c r="K46" s="532">
        <f>J46*7.5345</f>
        <v>48974.25</v>
      </c>
      <c r="L46" s="384">
        <f t="shared" si="29"/>
        <v>100</v>
      </c>
    </row>
    <row r="47" spans="1:12" ht="13.8" x14ac:dyDescent="0.25">
      <c r="A47" s="371" t="s">
        <v>390</v>
      </c>
      <c r="B47" s="446"/>
      <c r="C47" s="367">
        <v>329</v>
      </c>
      <c r="D47" s="368" t="s">
        <v>65</v>
      </c>
      <c r="E47" s="363">
        <f t="shared" ref="E47:J47" si="37">SUM(E48:E51)</f>
        <v>50000</v>
      </c>
      <c r="F47" s="363">
        <f t="shared" si="37"/>
        <v>95000</v>
      </c>
      <c r="G47" s="363">
        <f t="shared" si="37"/>
        <v>12608.666799389473</v>
      </c>
      <c r="H47" s="363">
        <f t="shared" si="37"/>
        <v>17500</v>
      </c>
      <c r="I47" s="363">
        <f t="shared" si="37"/>
        <v>0</v>
      </c>
      <c r="J47" s="363">
        <f t="shared" si="37"/>
        <v>17500</v>
      </c>
      <c r="K47" s="532">
        <f t="shared" ref="K47" si="38">SUM(K48:K51)</f>
        <v>131853.75</v>
      </c>
      <c r="L47" s="384">
        <f t="shared" si="29"/>
        <v>100</v>
      </c>
    </row>
    <row r="48" spans="1:12" ht="13.8" x14ac:dyDescent="0.25">
      <c r="A48" s="371" t="s">
        <v>390</v>
      </c>
      <c r="B48" s="446"/>
      <c r="C48" s="367">
        <v>3292</v>
      </c>
      <c r="D48" s="368" t="s">
        <v>67</v>
      </c>
      <c r="E48" s="363">
        <v>20000</v>
      </c>
      <c r="F48" s="363">
        <v>15000</v>
      </c>
      <c r="G48" s="363">
        <f>F48/7.5345</f>
        <v>1990.8421262193906</v>
      </c>
      <c r="H48" s="363">
        <v>4000</v>
      </c>
      <c r="I48" s="363">
        <v>0</v>
      </c>
      <c r="J48" s="363">
        <f>SUM(H48+I48)</f>
        <v>4000</v>
      </c>
      <c r="K48" s="532">
        <f>J48*7.5345</f>
        <v>30138</v>
      </c>
      <c r="L48" s="384">
        <f t="shared" si="29"/>
        <v>100</v>
      </c>
    </row>
    <row r="49" spans="1:12" ht="13.8" x14ac:dyDescent="0.25">
      <c r="A49" s="371" t="s">
        <v>390</v>
      </c>
      <c r="B49" s="446"/>
      <c r="C49" s="367">
        <v>3293</v>
      </c>
      <c r="D49" s="368" t="s">
        <v>68</v>
      </c>
      <c r="E49" s="363">
        <v>10000</v>
      </c>
      <c r="F49" s="363">
        <v>20000</v>
      </c>
      <c r="G49" s="363">
        <f>F49/7.5345</f>
        <v>2654.4561682925209</v>
      </c>
      <c r="H49" s="615">
        <v>5000</v>
      </c>
      <c r="I49" s="615">
        <v>0</v>
      </c>
      <c r="J49" s="363">
        <f t="shared" ref="J49:J51" si="39">SUM(H49+I49)</f>
        <v>5000</v>
      </c>
      <c r="K49" s="532">
        <f>J49*7.5345</f>
        <v>37672.5</v>
      </c>
      <c r="L49" s="384">
        <f t="shared" si="29"/>
        <v>100</v>
      </c>
    </row>
    <row r="50" spans="1:12" ht="13.8" x14ac:dyDescent="0.25">
      <c r="A50" s="371" t="s">
        <v>390</v>
      </c>
      <c r="B50" s="446"/>
      <c r="C50" s="367">
        <v>3295</v>
      </c>
      <c r="D50" s="368" t="s">
        <v>193</v>
      </c>
      <c r="E50" s="363">
        <v>10000</v>
      </c>
      <c r="F50" s="363">
        <v>50000</v>
      </c>
      <c r="G50" s="363">
        <f>F50/7.5345</f>
        <v>6636.1404207313026</v>
      </c>
      <c r="H50" s="363">
        <v>7000</v>
      </c>
      <c r="I50" s="363">
        <v>0</v>
      </c>
      <c r="J50" s="363">
        <f t="shared" si="39"/>
        <v>7000</v>
      </c>
      <c r="K50" s="532">
        <f>J50*7.5345</f>
        <v>52741.5</v>
      </c>
      <c r="L50" s="384">
        <f t="shared" si="29"/>
        <v>100</v>
      </c>
    </row>
    <row r="51" spans="1:12" ht="13.8" x14ac:dyDescent="0.25">
      <c r="A51" s="371" t="s">
        <v>390</v>
      </c>
      <c r="B51" s="446"/>
      <c r="C51" s="367">
        <v>3299</v>
      </c>
      <c r="D51" s="368" t="s">
        <v>65</v>
      </c>
      <c r="E51" s="363">
        <v>10000</v>
      </c>
      <c r="F51" s="363">
        <v>10000</v>
      </c>
      <c r="G51" s="363">
        <f>F51/7.5345</f>
        <v>1327.2280841462605</v>
      </c>
      <c r="H51" s="363">
        <v>1500</v>
      </c>
      <c r="I51" s="363">
        <v>0</v>
      </c>
      <c r="J51" s="363">
        <f t="shared" si="39"/>
        <v>1500</v>
      </c>
      <c r="K51" s="532">
        <f>J51*7.5345</f>
        <v>11301.75</v>
      </c>
      <c r="L51" s="384">
        <f t="shared" si="29"/>
        <v>100</v>
      </c>
    </row>
    <row r="52" spans="1:12" s="28" customFormat="1" ht="13.8" x14ac:dyDescent="0.25">
      <c r="A52" s="402" t="s">
        <v>390</v>
      </c>
      <c r="B52" s="447"/>
      <c r="C52" s="354">
        <v>34</v>
      </c>
      <c r="D52" s="365" t="s">
        <v>70</v>
      </c>
      <c r="E52" s="362">
        <v>17200</v>
      </c>
      <c r="F52" s="362">
        <f t="shared" ref="F52:K52" si="40">F53</f>
        <v>35000</v>
      </c>
      <c r="G52" s="362">
        <f t="shared" si="40"/>
        <v>4645.2982945119111</v>
      </c>
      <c r="H52" s="362">
        <f t="shared" si="40"/>
        <v>4600</v>
      </c>
      <c r="I52" s="362">
        <f t="shared" si="40"/>
        <v>0</v>
      </c>
      <c r="J52" s="362">
        <f t="shared" si="40"/>
        <v>4600</v>
      </c>
      <c r="K52" s="533">
        <f t="shared" si="40"/>
        <v>34658.700000000004</v>
      </c>
      <c r="L52" s="734">
        <f t="shared" si="29"/>
        <v>100</v>
      </c>
    </row>
    <row r="53" spans="1:12" ht="12.6" customHeight="1" x14ac:dyDescent="0.25">
      <c r="A53" s="371" t="s">
        <v>390</v>
      </c>
      <c r="B53" s="446"/>
      <c r="C53" s="367">
        <v>343</v>
      </c>
      <c r="D53" s="368" t="s">
        <v>71</v>
      </c>
      <c r="E53" s="363">
        <f t="shared" ref="E53:J53" si="41">SUM(E54:E56)</f>
        <v>17200</v>
      </c>
      <c r="F53" s="363">
        <f t="shared" si="41"/>
        <v>35000</v>
      </c>
      <c r="G53" s="363">
        <f t="shared" si="41"/>
        <v>4645.2982945119111</v>
      </c>
      <c r="H53" s="363">
        <f t="shared" si="41"/>
        <v>4600</v>
      </c>
      <c r="I53" s="363">
        <f t="shared" si="41"/>
        <v>0</v>
      </c>
      <c r="J53" s="363">
        <f t="shared" si="41"/>
        <v>4600</v>
      </c>
      <c r="K53" s="532">
        <f t="shared" ref="K53" si="42">SUM(K54:K56)</f>
        <v>34658.700000000004</v>
      </c>
      <c r="L53" s="384">
        <f t="shared" si="29"/>
        <v>100</v>
      </c>
    </row>
    <row r="54" spans="1:12" ht="13.8" x14ac:dyDescent="0.25">
      <c r="A54" s="371" t="s">
        <v>390</v>
      </c>
      <c r="B54" s="446"/>
      <c r="C54" s="367">
        <v>3431</v>
      </c>
      <c r="D54" s="368" t="s">
        <v>72</v>
      </c>
      <c r="E54" s="363">
        <v>12000</v>
      </c>
      <c r="F54" s="363">
        <v>20000</v>
      </c>
      <c r="G54" s="363">
        <f>F54/7.5345</f>
        <v>2654.4561682925209</v>
      </c>
      <c r="H54" s="363">
        <v>2500</v>
      </c>
      <c r="I54" s="363">
        <v>0</v>
      </c>
      <c r="J54" s="363">
        <f>SUM(H54+I54)</f>
        <v>2500</v>
      </c>
      <c r="K54" s="532">
        <f>J54*7.5345</f>
        <v>18836.25</v>
      </c>
      <c r="L54" s="384">
        <f t="shared" si="29"/>
        <v>100</v>
      </c>
    </row>
    <row r="55" spans="1:12" ht="13.8" x14ac:dyDescent="0.25">
      <c r="A55" s="371" t="s">
        <v>390</v>
      </c>
      <c r="B55" s="446"/>
      <c r="C55" s="367">
        <v>3433</v>
      </c>
      <c r="D55" s="368" t="s">
        <v>73</v>
      </c>
      <c r="E55" s="363">
        <v>200</v>
      </c>
      <c r="F55" s="363">
        <v>10000</v>
      </c>
      <c r="G55" s="363">
        <f>F55/7.5345</f>
        <v>1327.2280841462605</v>
      </c>
      <c r="H55" s="363">
        <v>1400</v>
      </c>
      <c r="I55" s="363">
        <v>0</v>
      </c>
      <c r="J55" s="363">
        <f t="shared" ref="J55:J56" si="43">SUM(H55+I55)</f>
        <v>1400</v>
      </c>
      <c r="K55" s="532">
        <f>J55*7.5345</f>
        <v>10548.300000000001</v>
      </c>
      <c r="L55" s="384">
        <f t="shared" si="29"/>
        <v>100</v>
      </c>
    </row>
    <row r="56" spans="1:12" s="390" customFormat="1" ht="14.4" thickBot="1" x14ac:dyDescent="0.3">
      <c r="A56" s="403" t="s">
        <v>390</v>
      </c>
      <c r="B56" s="448"/>
      <c r="C56" s="386">
        <v>3434</v>
      </c>
      <c r="D56" s="387" t="s">
        <v>74</v>
      </c>
      <c r="E56" s="388">
        <v>5000</v>
      </c>
      <c r="F56" s="388">
        <v>5000</v>
      </c>
      <c r="G56" s="388">
        <f>F56/7.5345</f>
        <v>663.61404207313024</v>
      </c>
      <c r="H56" s="388">
        <v>700</v>
      </c>
      <c r="I56" s="388">
        <v>0</v>
      </c>
      <c r="J56" s="363">
        <f t="shared" si="43"/>
        <v>700</v>
      </c>
      <c r="K56" s="534">
        <f>J56*7.5345</f>
        <v>5274.1500000000005</v>
      </c>
      <c r="L56" s="384">
        <f t="shared" si="29"/>
        <v>100</v>
      </c>
    </row>
    <row r="57" spans="1:12" ht="14.4" thickTop="1" x14ac:dyDescent="0.25">
      <c r="A57" s="401"/>
      <c r="B57" s="40"/>
      <c r="C57" s="40"/>
      <c r="D57" s="395" t="s">
        <v>178</v>
      </c>
      <c r="E57" s="385"/>
      <c r="F57" s="529"/>
      <c r="G57" s="529"/>
      <c r="H57" s="372"/>
      <c r="I57" s="372"/>
      <c r="J57" s="372"/>
      <c r="K57" s="529"/>
      <c r="L57" s="849">
        <f>AVERAGE(J59/H59*100)</f>
        <v>106.95652173913044</v>
      </c>
    </row>
    <row r="58" spans="1:12" ht="13.8" x14ac:dyDescent="0.25">
      <c r="A58" s="401"/>
      <c r="B58" s="40"/>
      <c r="C58" s="40"/>
      <c r="D58" s="395" t="s">
        <v>651</v>
      </c>
      <c r="E58" s="379"/>
      <c r="F58" s="372"/>
      <c r="G58" s="372"/>
      <c r="H58" s="372"/>
      <c r="I58" s="372"/>
      <c r="J58" s="372"/>
      <c r="K58" s="529"/>
      <c r="L58" s="850"/>
    </row>
    <row r="59" spans="1:12" s="97" customFormat="1" ht="15.6" x14ac:dyDescent="0.3">
      <c r="A59" s="425"/>
      <c r="D59" s="422" t="s">
        <v>417</v>
      </c>
      <c r="E59" s="423">
        <v>81000</v>
      </c>
      <c r="F59" s="424">
        <f t="shared" ref="F59:K60" si="44">SUM(F60)</f>
        <v>57500</v>
      </c>
      <c r="G59" s="424">
        <f t="shared" si="44"/>
        <v>7631.5614838409974</v>
      </c>
      <c r="H59" s="424">
        <f t="shared" si="44"/>
        <v>57500</v>
      </c>
      <c r="I59" s="424">
        <f t="shared" si="44"/>
        <v>4000</v>
      </c>
      <c r="J59" s="424">
        <f t="shared" si="44"/>
        <v>61500</v>
      </c>
      <c r="K59" s="530">
        <f t="shared" si="44"/>
        <v>463371.75</v>
      </c>
      <c r="L59" s="851"/>
    </row>
    <row r="60" spans="1:12" s="28" customFormat="1" ht="13.8" x14ac:dyDescent="0.25">
      <c r="A60" s="358" t="s">
        <v>394</v>
      </c>
      <c r="B60" s="447"/>
      <c r="C60" s="354">
        <v>42</v>
      </c>
      <c r="D60" s="369" t="s">
        <v>96</v>
      </c>
      <c r="E60" s="362">
        <v>81000</v>
      </c>
      <c r="F60" s="362">
        <f t="shared" si="44"/>
        <v>57500</v>
      </c>
      <c r="G60" s="362">
        <f t="shared" si="44"/>
        <v>7631.5614838409974</v>
      </c>
      <c r="H60" s="362">
        <f t="shared" si="44"/>
        <v>57500</v>
      </c>
      <c r="I60" s="362">
        <f t="shared" si="44"/>
        <v>4000</v>
      </c>
      <c r="J60" s="362">
        <f t="shared" si="44"/>
        <v>61500</v>
      </c>
      <c r="K60" s="533">
        <f t="shared" si="44"/>
        <v>463371.75</v>
      </c>
      <c r="L60" s="734">
        <f>AVERAGE(J60/H60*100)</f>
        <v>106.95652173913044</v>
      </c>
    </row>
    <row r="61" spans="1:12" ht="13.8" x14ac:dyDescent="0.25">
      <c r="A61" s="355" t="s">
        <v>394</v>
      </c>
      <c r="B61" s="446"/>
      <c r="C61" s="367">
        <v>422</v>
      </c>
      <c r="D61" s="368" t="s">
        <v>99</v>
      </c>
      <c r="E61" s="363">
        <f t="shared" ref="E61:J61" si="45">SUM(E62:E66)</f>
        <v>81000</v>
      </c>
      <c r="F61" s="363">
        <f t="shared" si="45"/>
        <v>57500</v>
      </c>
      <c r="G61" s="363">
        <f t="shared" si="45"/>
        <v>7631.5614838409974</v>
      </c>
      <c r="H61" s="363">
        <f t="shared" si="45"/>
        <v>57500</v>
      </c>
      <c r="I61" s="363">
        <f t="shared" si="45"/>
        <v>4000</v>
      </c>
      <c r="J61" s="363">
        <f t="shared" si="45"/>
        <v>61500</v>
      </c>
      <c r="K61" s="532">
        <f t="shared" ref="K61" si="46">SUM(K62:K66)</f>
        <v>463371.75</v>
      </c>
      <c r="L61" s="384">
        <f t="shared" ref="L61:L66" si="47">AVERAGE(J61/H61*100)</f>
        <v>106.95652173913044</v>
      </c>
    </row>
    <row r="62" spans="1:12" ht="13.8" x14ac:dyDescent="0.25">
      <c r="A62" s="355" t="s">
        <v>394</v>
      </c>
      <c r="B62" s="446"/>
      <c r="C62" s="367">
        <v>4221</v>
      </c>
      <c r="D62" s="368" t="s">
        <v>100</v>
      </c>
      <c r="E62" s="363">
        <v>25000</v>
      </c>
      <c r="F62" s="363">
        <v>20000</v>
      </c>
      <c r="G62" s="363">
        <f>F62/7.5345</f>
        <v>2654.4561682925209</v>
      </c>
      <c r="H62" s="363">
        <v>3000</v>
      </c>
      <c r="I62" s="363">
        <v>4000</v>
      </c>
      <c r="J62" s="363">
        <f>SUM(H62+I62)</f>
        <v>7000</v>
      </c>
      <c r="K62" s="532">
        <f>J62*7.5345</f>
        <v>52741.5</v>
      </c>
      <c r="L62" s="384">
        <f t="shared" si="47"/>
        <v>233.33333333333334</v>
      </c>
    </row>
    <row r="63" spans="1:12" ht="13.8" x14ac:dyDescent="0.25">
      <c r="A63" s="355" t="s">
        <v>394</v>
      </c>
      <c r="B63" s="446"/>
      <c r="C63" s="367">
        <v>4222</v>
      </c>
      <c r="D63" s="368" t="s">
        <v>101</v>
      </c>
      <c r="E63" s="363">
        <v>4000</v>
      </c>
      <c r="F63" s="363">
        <v>15000</v>
      </c>
      <c r="G63" s="363">
        <f>F63/7.5345</f>
        <v>1990.8421262193906</v>
      </c>
      <c r="H63" s="363">
        <v>4000</v>
      </c>
      <c r="I63" s="363">
        <v>0</v>
      </c>
      <c r="J63" s="363">
        <f t="shared" ref="J63:J66" si="48">SUM(H63+I63)</f>
        <v>4000</v>
      </c>
      <c r="K63" s="532">
        <f>J63*7.5345</f>
        <v>30138</v>
      </c>
      <c r="L63" s="384">
        <f t="shared" si="47"/>
        <v>100</v>
      </c>
    </row>
    <row r="64" spans="1:12" ht="13.8" x14ac:dyDescent="0.25">
      <c r="A64" s="355" t="s">
        <v>394</v>
      </c>
      <c r="B64" s="446"/>
      <c r="C64" s="367">
        <v>4223</v>
      </c>
      <c r="D64" s="368" t="s">
        <v>112</v>
      </c>
      <c r="E64" s="363">
        <v>20000</v>
      </c>
      <c r="F64" s="363">
        <v>5000</v>
      </c>
      <c r="G64" s="363">
        <f>F64/7.5345</f>
        <v>663.61404207313024</v>
      </c>
      <c r="H64" s="363">
        <v>1000</v>
      </c>
      <c r="I64" s="363">
        <v>0</v>
      </c>
      <c r="J64" s="363">
        <f t="shared" si="48"/>
        <v>1000</v>
      </c>
      <c r="K64" s="532">
        <f>J64*7.5345</f>
        <v>7534.5</v>
      </c>
      <c r="L64" s="384">
        <f t="shared" si="47"/>
        <v>100</v>
      </c>
    </row>
    <row r="65" spans="1:12" ht="13.8" x14ac:dyDescent="0.25">
      <c r="A65" s="355" t="s">
        <v>394</v>
      </c>
      <c r="B65" s="446"/>
      <c r="C65" s="367">
        <v>4226</v>
      </c>
      <c r="D65" s="368" t="s">
        <v>386</v>
      </c>
      <c r="E65" s="363">
        <v>2000</v>
      </c>
      <c r="F65" s="363">
        <v>7500</v>
      </c>
      <c r="G65" s="363">
        <f>F65/7.5345</f>
        <v>995.4210631096953</v>
      </c>
      <c r="H65" s="363">
        <v>1000</v>
      </c>
      <c r="I65" s="363">
        <v>0</v>
      </c>
      <c r="J65" s="363">
        <f t="shared" si="48"/>
        <v>1000</v>
      </c>
      <c r="K65" s="532">
        <f>J65*7.5345</f>
        <v>7534.5</v>
      </c>
      <c r="L65" s="384">
        <f t="shared" si="47"/>
        <v>100</v>
      </c>
    </row>
    <row r="66" spans="1:12" s="390" customFormat="1" ht="14.4" thickBot="1" x14ac:dyDescent="0.3">
      <c r="A66" s="404" t="s">
        <v>394</v>
      </c>
      <c r="B66" s="448"/>
      <c r="C66" s="386">
        <v>4227</v>
      </c>
      <c r="D66" s="387" t="s">
        <v>102</v>
      </c>
      <c r="E66" s="388">
        <v>30000</v>
      </c>
      <c r="F66" s="388">
        <v>10000</v>
      </c>
      <c r="G66" s="388">
        <f>F66/7.5345</f>
        <v>1327.2280841462605</v>
      </c>
      <c r="H66" s="388">
        <v>48500</v>
      </c>
      <c r="I66" s="388">
        <v>0</v>
      </c>
      <c r="J66" s="363">
        <f t="shared" si="48"/>
        <v>48500</v>
      </c>
      <c r="K66" s="534">
        <f>J66*7.5345</f>
        <v>365423.25</v>
      </c>
      <c r="L66" s="384">
        <f t="shared" si="47"/>
        <v>100</v>
      </c>
    </row>
    <row r="67" spans="1:12" ht="14.4" thickTop="1" x14ac:dyDescent="0.25">
      <c r="A67" s="401"/>
      <c r="B67" s="40"/>
      <c r="C67" s="40"/>
      <c r="D67" s="395" t="s">
        <v>178</v>
      </c>
      <c r="E67" s="385"/>
      <c r="F67" s="372"/>
      <c r="G67" s="372"/>
      <c r="H67" s="372"/>
      <c r="I67" s="372"/>
      <c r="J67" s="372"/>
      <c r="K67" s="529"/>
      <c r="L67" s="849">
        <f>AVERAGE(J69/H69*100)</f>
        <v>100</v>
      </c>
    </row>
    <row r="68" spans="1:12" ht="13.8" x14ac:dyDescent="0.25">
      <c r="A68" s="401"/>
      <c r="B68" s="40"/>
      <c r="C68" s="40"/>
      <c r="D68" s="395" t="s">
        <v>651</v>
      </c>
      <c r="E68" s="379"/>
      <c r="F68" s="372"/>
      <c r="G68" s="372"/>
      <c r="H68" s="372"/>
      <c r="I68" s="372"/>
      <c r="J68" s="372"/>
      <c r="K68" s="529"/>
      <c r="L68" s="850"/>
    </row>
    <row r="69" spans="1:12" s="97" customFormat="1" ht="15.6" x14ac:dyDescent="0.3">
      <c r="A69" s="425"/>
      <c r="D69" s="422" t="s">
        <v>418</v>
      </c>
      <c r="E69" s="423">
        <v>25000</v>
      </c>
      <c r="F69" s="424">
        <f t="shared" ref="F69:K71" si="49">SUM(F70)</f>
        <v>20000</v>
      </c>
      <c r="G69" s="424">
        <f t="shared" si="49"/>
        <v>2654.4561682925209</v>
      </c>
      <c r="H69" s="424">
        <f t="shared" si="49"/>
        <v>2000</v>
      </c>
      <c r="I69" s="424">
        <f t="shared" si="49"/>
        <v>0</v>
      </c>
      <c r="J69" s="424">
        <f t="shared" si="49"/>
        <v>2000</v>
      </c>
      <c r="K69" s="530">
        <f t="shared" si="49"/>
        <v>15069</v>
      </c>
      <c r="L69" s="851"/>
    </row>
    <row r="70" spans="1:12" s="28" customFormat="1" ht="13.8" x14ac:dyDescent="0.25">
      <c r="A70" s="358" t="s">
        <v>395</v>
      </c>
      <c r="B70" s="447"/>
      <c r="C70" s="354">
        <v>42</v>
      </c>
      <c r="D70" s="369" t="s">
        <v>96</v>
      </c>
      <c r="E70" s="362">
        <v>25000</v>
      </c>
      <c r="F70" s="362">
        <f t="shared" si="49"/>
        <v>20000</v>
      </c>
      <c r="G70" s="362">
        <f t="shared" si="49"/>
        <v>2654.4561682925209</v>
      </c>
      <c r="H70" s="362">
        <f t="shared" si="49"/>
        <v>2000</v>
      </c>
      <c r="I70" s="362">
        <f t="shared" si="49"/>
        <v>0</v>
      </c>
      <c r="J70" s="362">
        <f t="shared" si="49"/>
        <v>2000</v>
      </c>
      <c r="K70" s="533">
        <f t="shared" si="49"/>
        <v>15069</v>
      </c>
      <c r="L70" s="734">
        <f>AVERAGE(J70/H70*100)</f>
        <v>100</v>
      </c>
    </row>
    <row r="71" spans="1:12" ht="13.8" x14ac:dyDescent="0.25">
      <c r="A71" s="355" t="s">
        <v>395</v>
      </c>
      <c r="B71" s="446"/>
      <c r="C71" s="367">
        <v>426</v>
      </c>
      <c r="D71" s="368" t="s">
        <v>117</v>
      </c>
      <c r="E71" s="363">
        <v>25000</v>
      </c>
      <c r="F71" s="363">
        <f t="shared" si="49"/>
        <v>20000</v>
      </c>
      <c r="G71" s="363">
        <f t="shared" si="49"/>
        <v>2654.4561682925209</v>
      </c>
      <c r="H71" s="363">
        <f t="shared" si="49"/>
        <v>2000</v>
      </c>
      <c r="I71" s="363">
        <f t="shared" si="49"/>
        <v>0</v>
      </c>
      <c r="J71" s="363">
        <f t="shared" si="49"/>
        <v>2000</v>
      </c>
      <c r="K71" s="532">
        <f t="shared" si="49"/>
        <v>15069</v>
      </c>
      <c r="L71" s="384">
        <f t="shared" ref="L71:L72" si="50">AVERAGE(J71/H71*100)</f>
        <v>100</v>
      </c>
    </row>
    <row r="72" spans="1:12" s="390" customFormat="1" ht="14.4" thickBot="1" x14ac:dyDescent="0.3">
      <c r="A72" s="404" t="s">
        <v>395</v>
      </c>
      <c r="B72" s="448"/>
      <c r="C72" s="386">
        <v>4262</v>
      </c>
      <c r="D72" s="387" t="s">
        <v>196</v>
      </c>
      <c r="E72" s="388">
        <v>25000</v>
      </c>
      <c r="F72" s="388">
        <v>20000</v>
      </c>
      <c r="G72" s="388">
        <f>F72/7.5345</f>
        <v>2654.4561682925209</v>
      </c>
      <c r="H72" s="388">
        <v>2000</v>
      </c>
      <c r="I72" s="388">
        <v>0</v>
      </c>
      <c r="J72" s="388">
        <f>SUM(H72+I72)</f>
        <v>2000</v>
      </c>
      <c r="K72" s="534">
        <f>J72*7.5345</f>
        <v>15069</v>
      </c>
      <c r="L72" s="384">
        <f t="shared" si="50"/>
        <v>100</v>
      </c>
    </row>
    <row r="73" spans="1:12" ht="14.4" thickTop="1" x14ac:dyDescent="0.25">
      <c r="A73" s="401"/>
      <c r="B73" s="451"/>
      <c r="C73" s="40"/>
      <c r="D73" s="395" t="s">
        <v>178</v>
      </c>
      <c r="E73" s="385"/>
      <c r="F73" s="372"/>
      <c r="G73" s="372"/>
      <c r="H73" s="372"/>
      <c r="I73" s="372"/>
      <c r="J73" s="372"/>
      <c r="K73" s="529"/>
      <c r="L73" s="849">
        <f>AVERAGE(J75/H75*100)</f>
        <v>100</v>
      </c>
    </row>
    <row r="74" spans="1:12" ht="13.8" x14ac:dyDescent="0.25">
      <c r="A74" s="401"/>
      <c r="B74" s="451"/>
      <c r="C74" s="40"/>
      <c r="D74" s="395" t="s">
        <v>651</v>
      </c>
      <c r="E74" s="379"/>
      <c r="F74" s="372"/>
      <c r="G74" s="372"/>
      <c r="H74" s="372"/>
      <c r="I74" s="372"/>
      <c r="J74" s="372"/>
      <c r="K74" s="529"/>
      <c r="L74" s="850"/>
    </row>
    <row r="75" spans="1:12" s="97" customFormat="1" ht="15.6" x14ac:dyDescent="0.3">
      <c r="A75" s="425"/>
      <c r="B75" s="452"/>
      <c r="D75" s="422" t="s">
        <v>419</v>
      </c>
      <c r="E75" s="423">
        <v>20000</v>
      </c>
      <c r="F75" s="424">
        <f t="shared" ref="F75:K77" si="51">SUM(F76)</f>
        <v>10000</v>
      </c>
      <c r="G75" s="424">
        <f t="shared" si="51"/>
        <v>1327.2280841462605</v>
      </c>
      <c r="H75" s="424">
        <f t="shared" si="51"/>
        <v>1000</v>
      </c>
      <c r="I75" s="424">
        <f t="shared" si="51"/>
        <v>0</v>
      </c>
      <c r="J75" s="424">
        <f t="shared" si="51"/>
        <v>1000</v>
      </c>
      <c r="K75" s="530">
        <f t="shared" si="51"/>
        <v>7534.5</v>
      </c>
      <c r="L75" s="851"/>
    </row>
    <row r="76" spans="1:12" s="28" customFormat="1" ht="13.8" x14ac:dyDescent="0.25">
      <c r="A76" s="358" t="s">
        <v>396</v>
      </c>
      <c r="B76" s="447"/>
      <c r="C76" s="354">
        <v>32</v>
      </c>
      <c r="D76" s="369" t="s">
        <v>47</v>
      </c>
      <c r="E76" s="362">
        <v>20000</v>
      </c>
      <c r="F76" s="362">
        <f t="shared" si="51"/>
        <v>10000</v>
      </c>
      <c r="G76" s="362">
        <f t="shared" si="51"/>
        <v>1327.2280841462605</v>
      </c>
      <c r="H76" s="362">
        <f t="shared" si="51"/>
        <v>1000</v>
      </c>
      <c r="I76" s="362">
        <f t="shared" si="51"/>
        <v>0</v>
      </c>
      <c r="J76" s="362">
        <f t="shared" si="51"/>
        <v>1000</v>
      </c>
      <c r="K76" s="533">
        <f t="shared" si="51"/>
        <v>7534.5</v>
      </c>
      <c r="L76" s="734">
        <f>AVERAGE(J76/H76*100)</f>
        <v>100</v>
      </c>
    </row>
    <row r="77" spans="1:12" ht="13.8" x14ac:dyDescent="0.25">
      <c r="A77" s="355" t="s">
        <v>396</v>
      </c>
      <c r="B77" s="446"/>
      <c r="C77" s="367">
        <v>323</v>
      </c>
      <c r="D77" s="368" t="s">
        <v>56</v>
      </c>
      <c r="E77" s="363">
        <v>20000</v>
      </c>
      <c r="F77" s="363">
        <f t="shared" si="51"/>
        <v>10000</v>
      </c>
      <c r="G77" s="363">
        <f t="shared" si="51"/>
        <v>1327.2280841462605</v>
      </c>
      <c r="H77" s="363">
        <f t="shared" si="51"/>
        <v>1000</v>
      </c>
      <c r="I77" s="363">
        <f t="shared" si="51"/>
        <v>0</v>
      </c>
      <c r="J77" s="363">
        <f t="shared" si="51"/>
        <v>1000</v>
      </c>
      <c r="K77" s="532">
        <f t="shared" si="51"/>
        <v>7534.5</v>
      </c>
      <c r="L77" s="384">
        <f t="shared" ref="L77:L78" si="52">AVERAGE(J77/H77*100)</f>
        <v>100</v>
      </c>
    </row>
    <row r="78" spans="1:12" s="390" customFormat="1" ht="14.4" thickBot="1" x14ac:dyDescent="0.3">
      <c r="A78" s="404" t="s">
        <v>396</v>
      </c>
      <c r="B78" s="448"/>
      <c r="C78" s="386">
        <v>3237</v>
      </c>
      <c r="D78" s="387" t="s">
        <v>62</v>
      </c>
      <c r="E78" s="388">
        <v>20000</v>
      </c>
      <c r="F78" s="388">
        <v>10000</v>
      </c>
      <c r="G78" s="388">
        <f>F78/7.5345</f>
        <v>1327.2280841462605</v>
      </c>
      <c r="H78" s="388">
        <v>1000</v>
      </c>
      <c r="I78" s="388">
        <v>0</v>
      </c>
      <c r="J78" s="388">
        <f>SUM(H78+I78)</f>
        <v>1000</v>
      </c>
      <c r="K78" s="534">
        <f>J78*7.5345</f>
        <v>7534.5</v>
      </c>
      <c r="L78" s="384">
        <f t="shared" si="52"/>
        <v>100</v>
      </c>
    </row>
    <row r="79" spans="1:12" ht="14.4" thickTop="1" x14ac:dyDescent="0.25">
      <c r="A79" s="401"/>
      <c r="B79" s="451"/>
      <c r="C79" s="40"/>
      <c r="D79" s="395" t="s">
        <v>178</v>
      </c>
      <c r="E79" s="385"/>
      <c r="F79" s="372"/>
      <c r="G79" s="372"/>
      <c r="H79" s="372"/>
      <c r="I79" s="372"/>
      <c r="J79" s="372"/>
      <c r="K79" s="529"/>
      <c r="L79" s="849">
        <f>AVERAGE(J81/H81*100)</f>
        <v>100</v>
      </c>
    </row>
    <row r="80" spans="1:12" ht="13.8" x14ac:dyDescent="0.25">
      <c r="A80" s="401"/>
      <c r="B80" s="451"/>
      <c r="C80" s="40"/>
      <c r="D80" s="395" t="s">
        <v>651</v>
      </c>
      <c r="E80" s="379"/>
      <c r="F80" s="372"/>
      <c r="G80" s="372"/>
      <c r="H80" s="372"/>
      <c r="I80" s="372"/>
      <c r="J80" s="372"/>
      <c r="K80" s="529"/>
      <c r="L80" s="850"/>
    </row>
    <row r="81" spans="1:12" s="97" customFormat="1" ht="15.6" x14ac:dyDescent="0.3">
      <c r="A81" s="425"/>
      <c r="B81" s="452"/>
      <c r="D81" s="422" t="s">
        <v>420</v>
      </c>
      <c r="E81" s="423">
        <v>40000</v>
      </c>
      <c r="F81" s="424">
        <f t="shared" ref="F81:K83" si="53">SUM(F82)</f>
        <v>20000</v>
      </c>
      <c r="G81" s="424">
        <f t="shared" si="53"/>
        <v>2654.4561682925209</v>
      </c>
      <c r="H81" s="424">
        <f t="shared" si="53"/>
        <v>3000</v>
      </c>
      <c r="I81" s="424">
        <f t="shared" si="53"/>
        <v>0</v>
      </c>
      <c r="J81" s="424">
        <f t="shared" si="53"/>
        <v>3000</v>
      </c>
      <c r="K81" s="530">
        <f t="shared" si="53"/>
        <v>22603.5</v>
      </c>
      <c r="L81" s="851"/>
    </row>
    <row r="82" spans="1:12" s="28" customFormat="1" ht="13.8" x14ac:dyDescent="0.25">
      <c r="A82" s="358" t="s">
        <v>397</v>
      </c>
      <c r="B82" s="447"/>
      <c r="C82" s="377">
        <v>38</v>
      </c>
      <c r="D82" s="378" t="s">
        <v>198</v>
      </c>
      <c r="E82" s="362">
        <v>40000</v>
      </c>
      <c r="F82" s="362">
        <f t="shared" si="53"/>
        <v>20000</v>
      </c>
      <c r="G82" s="362">
        <f t="shared" si="53"/>
        <v>2654.4561682925209</v>
      </c>
      <c r="H82" s="362">
        <f t="shared" si="53"/>
        <v>3000</v>
      </c>
      <c r="I82" s="362">
        <f t="shared" si="53"/>
        <v>0</v>
      </c>
      <c r="J82" s="362">
        <f t="shared" si="53"/>
        <v>3000</v>
      </c>
      <c r="K82" s="533">
        <f t="shared" si="53"/>
        <v>22603.5</v>
      </c>
      <c r="L82" s="734">
        <f>AVERAGE(J82/H82*100)</f>
        <v>100</v>
      </c>
    </row>
    <row r="83" spans="1:12" ht="13.8" x14ac:dyDescent="0.25">
      <c r="A83" s="355" t="s">
        <v>397</v>
      </c>
      <c r="B83" s="446" t="s">
        <v>398</v>
      </c>
      <c r="C83" s="375">
        <v>383</v>
      </c>
      <c r="D83" s="366" t="s">
        <v>199</v>
      </c>
      <c r="E83" s="363">
        <v>40000</v>
      </c>
      <c r="F83" s="363">
        <f t="shared" si="53"/>
        <v>20000</v>
      </c>
      <c r="G83" s="363">
        <f t="shared" si="53"/>
        <v>2654.4561682925209</v>
      </c>
      <c r="H83" s="363">
        <f t="shared" si="53"/>
        <v>3000</v>
      </c>
      <c r="I83" s="363">
        <f t="shared" si="53"/>
        <v>0</v>
      </c>
      <c r="J83" s="363">
        <f t="shared" si="53"/>
        <v>3000</v>
      </c>
      <c r="K83" s="532">
        <f t="shared" si="53"/>
        <v>22603.5</v>
      </c>
      <c r="L83" s="384">
        <f t="shared" ref="L83:L84" si="54">AVERAGE(J83/H83*100)</f>
        <v>100</v>
      </c>
    </row>
    <row r="84" spans="1:12" ht="14.4" thickBot="1" x14ac:dyDescent="0.3">
      <c r="A84" s="356" t="s">
        <v>397</v>
      </c>
      <c r="B84" s="453"/>
      <c r="C84" s="398">
        <v>3831</v>
      </c>
      <c r="D84" s="374" t="s">
        <v>200</v>
      </c>
      <c r="E84" s="361">
        <v>40000</v>
      </c>
      <c r="F84" s="361">
        <v>20000</v>
      </c>
      <c r="G84" s="363">
        <f>F84/7.5345</f>
        <v>2654.4561682925209</v>
      </c>
      <c r="H84" s="363">
        <v>3000</v>
      </c>
      <c r="I84" s="363">
        <v>0</v>
      </c>
      <c r="J84" s="363">
        <f>SUM(H84+I84)</f>
        <v>3000</v>
      </c>
      <c r="K84" s="532">
        <f>J84*7.5345</f>
        <v>22603.5</v>
      </c>
      <c r="L84" s="384">
        <f t="shared" si="54"/>
        <v>100</v>
      </c>
    </row>
    <row r="85" spans="1:12" s="589" customFormat="1" ht="37.200000000000003" customHeight="1" thickBot="1" x14ac:dyDescent="0.3">
      <c r="A85" s="876" t="s">
        <v>517</v>
      </c>
      <c r="B85" s="877"/>
      <c r="C85" s="877"/>
      <c r="D85" s="878"/>
      <c r="E85" s="550">
        <v>175000</v>
      </c>
      <c r="F85" s="550">
        <f t="shared" ref="F85:H85" si="55">SUM(F88)</f>
        <v>185000</v>
      </c>
      <c r="G85" s="550">
        <f t="shared" si="55"/>
        <v>24553.719556705822</v>
      </c>
      <c r="H85" s="550">
        <f t="shared" si="55"/>
        <v>44000</v>
      </c>
      <c r="I85" s="550">
        <f t="shared" ref="I85:J85" si="56">SUM(I88)</f>
        <v>1000</v>
      </c>
      <c r="J85" s="550">
        <f t="shared" si="56"/>
        <v>45000</v>
      </c>
      <c r="K85" s="553">
        <f t="shared" ref="K85" si="57">SUM(K88)</f>
        <v>339052.5</v>
      </c>
      <c r="L85" s="733">
        <f>AVERAGE(J85/H85*100)</f>
        <v>102.27272727272727</v>
      </c>
    </row>
    <row r="86" spans="1:12" ht="13.8" x14ac:dyDescent="0.25">
      <c r="A86" s="401"/>
      <c r="B86" s="40"/>
      <c r="C86" s="40"/>
      <c r="D86" s="395" t="s">
        <v>178</v>
      </c>
      <c r="E86" s="373"/>
      <c r="F86" s="372"/>
      <c r="G86" s="372"/>
      <c r="H86" s="372"/>
      <c r="I86" s="372"/>
      <c r="J86" s="372"/>
      <c r="K86" s="529"/>
      <c r="L86" s="861">
        <f>AVERAGE(J88/H88*100)</f>
        <v>102.27272727272727</v>
      </c>
    </row>
    <row r="87" spans="1:12" ht="13.8" x14ac:dyDescent="0.25">
      <c r="A87" s="401"/>
      <c r="B87" s="40"/>
      <c r="C87" s="40"/>
      <c r="D87" s="395" t="s">
        <v>653</v>
      </c>
      <c r="E87" s="363"/>
      <c r="F87" s="372"/>
      <c r="G87" s="372"/>
      <c r="H87" s="372"/>
      <c r="I87" s="372"/>
      <c r="J87" s="372"/>
      <c r="K87" s="529"/>
      <c r="L87" s="850"/>
    </row>
    <row r="88" spans="1:12" s="97" customFormat="1" ht="15.6" x14ac:dyDescent="0.3">
      <c r="A88" s="425"/>
      <c r="D88" s="422" t="s">
        <v>493</v>
      </c>
      <c r="E88" s="426">
        <v>175000</v>
      </c>
      <c r="F88" s="424">
        <f t="shared" ref="F88:K89" si="58">SUM(F89)</f>
        <v>185000</v>
      </c>
      <c r="G88" s="424">
        <f t="shared" si="58"/>
        <v>24553.719556705822</v>
      </c>
      <c r="H88" s="424">
        <f t="shared" si="58"/>
        <v>44000</v>
      </c>
      <c r="I88" s="424">
        <f t="shared" si="58"/>
        <v>1000</v>
      </c>
      <c r="J88" s="424">
        <f t="shared" si="58"/>
        <v>45000</v>
      </c>
      <c r="K88" s="530">
        <f t="shared" si="58"/>
        <v>339052.5</v>
      </c>
      <c r="L88" s="851"/>
    </row>
    <row r="89" spans="1:12" s="28" customFormat="1" ht="13.8" x14ac:dyDescent="0.25">
      <c r="A89" s="358" t="s">
        <v>445</v>
      </c>
      <c r="B89" s="447"/>
      <c r="C89" s="377">
        <v>32</v>
      </c>
      <c r="D89" s="364" t="s">
        <v>180</v>
      </c>
      <c r="E89" s="362">
        <v>175000</v>
      </c>
      <c r="F89" s="362">
        <f t="shared" si="58"/>
        <v>185000</v>
      </c>
      <c r="G89" s="362">
        <f t="shared" si="58"/>
        <v>24553.719556705822</v>
      </c>
      <c r="H89" s="362">
        <f t="shared" si="58"/>
        <v>44000</v>
      </c>
      <c r="I89" s="362">
        <f t="shared" si="58"/>
        <v>1000</v>
      </c>
      <c r="J89" s="362">
        <f t="shared" si="58"/>
        <v>45000</v>
      </c>
      <c r="K89" s="533">
        <f t="shared" si="58"/>
        <v>339052.5</v>
      </c>
      <c r="L89" s="734">
        <f>AVERAGE(J89/H89*100)</f>
        <v>102.27272727272727</v>
      </c>
    </row>
    <row r="90" spans="1:12" ht="13.8" x14ac:dyDescent="0.25">
      <c r="A90" s="355" t="s">
        <v>445</v>
      </c>
      <c r="B90" s="446"/>
      <c r="C90" s="375">
        <v>329</v>
      </c>
      <c r="D90" s="366" t="s">
        <v>65</v>
      </c>
      <c r="E90" s="363">
        <f t="shared" ref="E90:J90" si="59">SUM(E91:E93)</f>
        <v>175000</v>
      </c>
      <c r="F90" s="363">
        <f t="shared" si="59"/>
        <v>185000</v>
      </c>
      <c r="G90" s="363">
        <f t="shared" si="59"/>
        <v>24553.719556705822</v>
      </c>
      <c r="H90" s="363">
        <f t="shared" si="59"/>
        <v>44000</v>
      </c>
      <c r="I90" s="363">
        <f t="shared" si="59"/>
        <v>1000</v>
      </c>
      <c r="J90" s="363">
        <f t="shared" si="59"/>
        <v>45000</v>
      </c>
      <c r="K90" s="532">
        <f t="shared" ref="K90" si="60">SUM(K91:K93)</f>
        <v>339052.5</v>
      </c>
      <c r="L90" s="384">
        <f t="shared" ref="L90:L114" si="61">AVERAGE(J90/H90*100)</f>
        <v>102.27272727272727</v>
      </c>
    </row>
    <row r="91" spans="1:12" ht="13.8" x14ac:dyDescent="0.25">
      <c r="A91" s="355" t="s">
        <v>445</v>
      </c>
      <c r="B91" s="446"/>
      <c r="C91" s="375">
        <v>3291</v>
      </c>
      <c r="D91" s="366" t="s">
        <v>66</v>
      </c>
      <c r="E91" s="363">
        <v>150000</v>
      </c>
      <c r="F91" s="363">
        <v>140000</v>
      </c>
      <c r="G91" s="363">
        <f>F91/7.5345</f>
        <v>18581.193178047648</v>
      </c>
      <c r="H91" s="363">
        <v>35000</v>
      </c>
      <c r="I91" s="363">
        <v>0</v>
      </c>
      <c r="J91" s="363">
        <f>SUM(H91+I91)</f>
        <v>35000</v>
      </c>
      <c r="K91" s="532">
        <f>J91*7.5345</f>
        <v>263707.5</v>
      </c>
      <c r="L91" s="384">
        <f t="shared" si="61"/>
        <v>100</v>
      </c>
    </row>
    <row r="92" spans="1:12" ht="13.8" x14ac:dyDescent="0.25">
      <c r="A92" s="355" t="s">
        <v>445</v>
      </c>
      <c r="B92" s="446"/>
      <c r="C92" s="375">
        <v>3293</v>
      </c>
      <c r="D92" s="366" t="s">
        <v>68</v>
      </c>
      <c r="E92" s="363">
        <v>10000</v>
      </c>
      <c r="F92" s="363">
        <v>15000</v>
      </c>
      <c r="G92" s="363">
        <f>F92/7.5345</f>
        <v>1990.8421262193906</v>
      </c>
      <c r="H92" s="615">
        <v>5000</v>
      </c>
      <c r="I92" s="615">
        <v>1000</v>
      </c>
      <c r="J92" s="363">
        <f t="shared" ref="J92:J93" si="62">SUM(H92+I92)</f>
        <v>6000</v>
      </c>
      <c r="K92" s="532">
        <f>J92*7.5345</f>
        <v>45207</v>
      </c>
      <c r="L92" s="384">
        <f t="shared" si="61"/>
        <v>120</v>
      </c>
    </row>
    <row r="93" spans="1:12" ht="14.4" thickBot="1" x14ac:dyDescent="0.3">
      <c r="A93" s="355" t="s">
        <v>445</v>
      </c>
      <c r="B93" s="453"/>
      <c r="C93" s="398">
        <v>3294</v>
      </c>
      <c r="D93" s="374" t="s">
        <v>69</v>
      </c>
      <c r="E93" s="361">
        <v>15000</v>
      </c>
      <c r="F93" s="361">
        <v>30000</v>
      </c>
      <c r="G93" s="363">
        <f>F93/7.5345</f>
        <v>3981.6842524387812</v>
      </c>
      <c r="H93" s="363">
        <v>4000</v>
      </c>
      <c r="I93" s="363">
        <v>0</v>
      </c>
      <c r="J93" s="363">
        <f t="shared" si="62"/>
        <v>4000</v>
      </c>
      <c r="K93" s="532">
        <f>J93*7.5345</f>
        <v>30138</v>
      </c>
      <c r="L93" s="384">
        <f t="shared" si="61"/>
        <v>100</v>
      </c>
    </row>
    <row r="94" spans="1:12" s="555" customFormat="1" ht="18" thickBot="1" x14ac:dyDescent="0.3">
      <c r="A94" s="879" t="s">
        <v>444</v>
      </c>
      <c r="B94" s="880"/>
      <c r="C94" s="880"/>
      <c r="D94" s="881"/>
      <c r="E94" s="544">
        <v>0</v>
      </c>
      <c r="F94" s="544">
        <f t="shared" ref="F94:H94" si="63">SUM(F97)</f>
        <v>0</v>
      </c>
      <c r="G94" s="544">
        <f t="shared" si="63"/>
        <v>0</v>
      </c>
      <c r="H94" s="544">
        <f t="shared" si="63"/>
        <v>32500</v>
      </c>
      <c r="I94" s="544">
        <f t="shared" ref="I94:J94" si="64">SUM(I97)</f>
        <v>-7200</v>
      </c>
      <c r="J94" s="544">
        <f t="shared" si="64"/>
        <v>25300</v>
      </c>
      <c r="K94" s="549">
        <f t="shared" ref="K94" si="65">SUM(K97)</f>
        <v>3304.7979295241885</v>
      </c>
      <c r="L94" s="544">
        <f t="shared" si="61"/>
        <v>77.84615384615384</v>
      </c>
    </row>
    <row r="95" spans="1:12" ht="13.8" x14ac:dyDescent="0.25">
      <c r="A95" s="401"/>
      <c r="B95" s="40"/>
      <c r="C95" s="40"/>
      <c r="D95" s="395" t="s">
        <v>178</v>
      </c>
      <c r="E95" s="373"/>
      <c r="F95" s="372"/>
      <c r="G95" s="372"/>
      <c r="H95" s="372"/>
      <c r="I95" s="372"/>
      <c r="J95" s="372"/>
      <c r="K95" s="529"/>
      <c r="L95" s="372"/>
    </row>
    <row r="96" spans="1:12" ht="13.8" x14ac:dyDescent="0.25">
      <c r="A96" s="401"/>
      <c r="B96" s="40"/>
      <c r="C96" s="40"/>
      <c r="D96" s="395" t="s">
        <v>651</v>
      </c>
      <c r="E96" s="363"/>
      <c r="F96" s="372"/>
      <c r="G96" s="372"/>
      <c r="H96" s="372"/>
      <c r="I96" s="372"/>
      <c r="J96" s="372"/>
      <c r="K96" s="529"/>
      <c r="L96" s="372"/>
    </row>
    <row r="97" spans="1:12" s="97" customFormat="1" ht="15.6" x14ac:dyDescent="0.3">
      <c r="A97" s="425"/>
      <c r="D97" s="422" t="s">
        <v>606</v>
      </c>
      <c r="E97" s="426">
        <v>0</v>
      </c>
      <c r="F97" s="424">
        <f t="shared" ref="F97:K97" si="66">SUM(F98+F105)</f>
        <v>0</v>
      </c>
      <c r="G97" s="424">
        <f t="shared" si="66"/>
        <v>0</v>
      </c>
      <c r="H97" s="424">
        <f t="shared" si="66"/>
        <v>32500</v>
      </c>
      <c r="I97" s="424">
        <f t="shared" si="66"/>
        <v>-7200</v>
      </c>
      <c r="J97" s="424">
        <f t="shared" si="66"/>
        <v>25300</v>
      </c>
      <c r="K97" s="530">
        <f t="shared" si="66"/>
        <v>3304.7979295241885</v>
      </c>
      <c r="L97" s="381">
        <f t="shared" si="61"/>
        <v>77.84615384615384</v>
      </c>
    </row>
    <row r="98" spans="1:12" s="28" customFormat="1" ht="13.8" x14ac:dyDescent="0.25">
      <c r="A98" s="358" t="s">
        <v>446</v>
      </c>
      <c r="B98" s="447"/>
      <c r="C98" s="377">
        <v>32</v>
      </c>
      <c r="D98" s="354" t="s">
        <v>180</v>
      </c>
      <c r="E98" s="362">
        <v>0</v>
      </c>
      <c r="F98" s="362">
        <f t="shared" ref="F98:K98" si="67">SUM(F101+F103)</f>
        <v>0</v>
      </c>
      <c r="G98" s="362">
        <f t="shared" si="67"/>
        <v>0</v>
      </c>
      <c r="H98" s="362">
        <f>SUM(H99+H101+H103)</f>
        <v>22500</v>
      </c>
      <c r="I98" s="362">
        <f t="shared" ref="I98:J98" si="68">SUM(I99+I101+I103)</f>
        <v>-200</v>
      </c>
      <c r="J98" s="362">
        <f t="shared" si="68"/>
        <v>22300</v>
      </c>
      <c r="K98" s="533">
        <f t="shared" si="67"/>
        <v>2906.6295042803104</v>
      </c>
      <c r="L98" s="381">
        <f t="shared" si="61"/>
        <v>99.111111111111114</v>
      </c>
    </row>
    <row r="99" spans="1:12" s="28" customFormat="1" ht="13.8" x14ac:dyDescent="0.25">
      <c r="A99" s="355" t="s">
        <v>446</v>
      </c>
      <c r="B99" s="447"/>
      <c r="C99" s="375">
        <v>322</v>
      </c>
      <c r="D99" s="367" t="s">
        <v>52</v>
      </c>
      <c r="E99" s="362"/>
      <c r="F99" s="362"/>
      <c r="G99" s="362"/>
      <c r="H99" s="363">
        <f>H100</f>
        <v>500</v>
      </c>
      <c r="I99" s="363">
        <f t="shared" ref="I99:J99" si="69">I100</f>
        <v>-100</v>
      </c>
      <c r="J99" s="363">
        <f t="shared" si="69"/>
        <v>400</v>
      </c>
      <c r="K99" s="533"/>
      <c r="L99" s="373">
        <f t="shared" si="61"/>
        <v>80</v>
      </c>
    </row>
    <row r="100" spans="1:12" s="28" customFormat="1" ht="13.8" x14ac:dyDescent="0.25">
      <c r="A100" s="355" t="s">
        <v>446</v>
      </c>
      <c r="B100" s="447"/>
      <c r="C100" s="375">
        <v>3221</v>
      </c>
      <c r="D100" s="367" t="s">
        <v>53</v>
      </c>
      <c r="E100" s="362"/>
      <c r="F100" s="362"/>
      <c r="G100" s="362"/>
      <c r="H100" s="363">
        <v>500</v>
      </c>
      <c r="I100" s="363">
        <v>-100</v>
      </c>
      <c r="J100" s="363">
        <f>SUM(H100+I100)</f>
        <v>400</v>
      </c>
      <c r="K100" s="533"/>
      <c r="L100" s="373">
        <f t="shared" si="61"/>
        <v>80</v>
      </c>
    </row>
    <row r="101" spans="1:12" ht="13.8" x14ac:dyDescent="0.25">
      <c r="A101" s="355" t="s">
        <v>446</v>
      </c>
      <c r="B101" s="446"/>
      <c r="C101" s="375">
        <v>323</v>
      </c>
      <c r="D101" s="366" t="s">
        <v>56</v>
      </c>
      <c r="E101" s="363">
        <v>0</v>
      </c>
      <c r="F101" s="363">
        <f t="shared" ref="F101:K101" si="70">SUM(F102)</f>
        <v>0</v>
      </c>
      <c r="G101" s="363">
        <f t="shared" si="70"/>
        <v>0</v>
      </c>
      <c r="H101" s="363">
        <f>H102</f>
        <v>2000</v>
      </c>
      <c r="I101" s="363">
        <f t="shared" si="70"/>
        <v>-1600</v>
      </c>
      <c r="J101" s="363">
        <f t="shared" si="70"/>
        <v>400</v>
      </c>
      <c r="K101" s="532">
        <f t="shared" si="70"/>
        <v>53.089123365850419</v>
      </c>
      <c r="L101" s="373">
        <f t="shared" si="61"/>
        <v>20</v>
      </c>
    </row>
    <row r="102" spans="1:12" ht="13.8" x14ac:dyDescent="0.25">
      <c r="A102" s="355" t="s">
        <v>446</v>
      </c>
      <c r="B102" s="446"/>
      <c r="C102" s="375">
        <v>3239</v>
      </c>
      <c r="D102" s="366" t="s">
        <v>64</v>
      </c>
      <c r="E102" s="363">
        <v>0</v>
      </c>
      <c r="F102" s="363">
        <v>0</v>
      </c>
      <c r="G102" s="363">
        <f t="shared" ref="G102:K102" si="71">F102/7.5345</f>
        <v>0</v>
      </c>
      <c r="H102" s="363">
        <v>2000</v>
      </c>
      <c r="I102" s="363">
        <v>-1600</v>
      </c>
      <c r="J102" s="363">
        <f>SUM(H102+I102)</f>
        <v>400</v>
      </c>
      <c r="K102" s="532">
        <f t="shared" si="71"/>
        <v>53.089123365850419</v>
      </c>
      <c r="L102" s="373">
        <f t="shared" si="61"/>
        <v>20</v>
      </c>
    </row>
    <row r="103" spans="1:12" ht="13.8" x14ac:dyDescent="0.25">
      <c r="A103" s="355" t="s">
        <v>446</v>
      </c>
      <c r="B103" s="446"/>
      <c r="C103" s="375">
        <v>329</v>
      </c>
      <c r="D103" s="366" t="s">
        <v>65</v>
      </c>
      <c r="E103" s="363">
        <v>0</v>
      </c>
      <c r="F103" s="363">
        <f t="shared" ref="F103:K103" si="72">SUM(F104)</f>
        <v>0</v>
      </c>
      <c r="G103" s="363">
        <f t="shared" si="72"/>
        <v>0</v>
      </c>
      <c r="H103" s="363">
        <f t="shared" si="72"/>
        <v>20000</v>
      </c>
      <c r="I103" s="363">
        <f t="shared" si="72"/>
        <v>1500</v>
      </c>
      <c r="J103" s="363">
        <f t="shared" si="72"/>
        <v>21500</v>
      </c>
      <c r="K103" s="532">
        <f t="shared" si="72"/>
        <v>2853.54038091446</v>
      </c>
      <c r="L103" s="373">
        <f t="shared" si="61"/>
        <v>107.5</v>
      </c>
    </row>
    <row r="104" spans="1:12" ht="13.8" x14ac:dyDescent="0.25">
      <c r="A104" s="355" t="s">
        <v>446</v>
      </c>
      <c r="B104" s="446"/>
      <c r="C104" s="375">
        <v>3291</v>
      </c>
      <c r="D104" s="366" t="s">
        <v>66</v>
      </c>
      <c r="E104" s="363">
        <v>0</v>
      </c>
      <c r="F104" s="363">
        <v>0</v>
      </c>
      <c r="G104" s="363">
        <f t="shared" ref="G104:K104" si="73">F104/7.5345</f>
        <v>0</v>
      </c>
      <c r="H104" s="363">
        <v>20000</v>
      </c>
      <c r="I104" s="363">
        <v>1500</v>
      </c>
      <c r="J104" s="363">
        <f>SUM(H104+I104)</f>
        <v>21500</v>
      </c>
      <c r="K104" s="532">
        <f t="shared" si="73"/>
        <v>2853.54038091446</v>
      </c>
      <c r="L104" s="373">
        <f t="shared" si="61"/>
        <v>107.5</v>
      </c>
    </row>
    <row r="105" spans="1:12" s="28" customFormat="1" ht="13.8" x14ac:dyDescent="0.25">
      <c r="A105" s="358" t="s">
        <v>446</v>
      </c>
      <c r="B105" s="447"/>
      <c r="C105" s="377">
        <v>38</v>
      </c>
      <c r="D105" s="364" t="s">
        <v>198</v>
      </c>
      <c r="E105" s="362">
        <v>0</v>
      </c>
      <c r="F105" s="362">
        <f t="shared" ref="F105:K106" si="74">SUM(F106)</f>
        <v>0</v>
      </c>
      <c r="G105" s="362">
        <f t="shared" si="74"/>
        <v>0</v>
      </c>
      <c r="H105" s="362">
        <f t="shared" si="74"/>
        <v>10000</v>
      </c>
      <c r="I105" s="362">
        <f t="shared" si="74"/>
        <v>-7000</v>
      </c>
      <c r="J105" s="362">
        <f t="shared" si="74"/>
        <v>3000</v>
      </c>
      <c r="K105" s="533">
        <f t="shared" si="74"/>
        <v>398.16842524387812</v>
      </c>
      <c r="L105" s="381">
        <f t="shared" si="61"/>
        <v>30</v>
      </c>
    </row>
    <row r="106" spans="1:12" ht="13.8" x14ac:dyDescent="0.25">
      <c r="A106" s="355" t="s">
        <v>446</v>
      </c>
      <c r="B106" s="446"/>
      <c r="C106" s="375">
        <v>381</v>
      </c>
      <c r="D106" s="366" t="s">
        <v>37</v>
      </c>
      <c r="E106" s="363">
        <v>0</v>
      </c>
      <c r="F106" s="363">
        <f t="shared" si="74"/>
        <v>0</v>
      </c>
      <c r="G106" s="363">
        <f t="shared" si="74"/>
        <v>0</v>
      </c>
      <c r="H106" s="363">
        <f t="shared" si="74"/>
        <v>10000</v>
      </c>
      <c r="I106" s="363">
        <f t="shared" si="74"/>
        <v>-7000</v>
      </c>
      <c r="J106" s="363">
        <f t="shared" si="74"/>
        <v>3000</v>
      </c>
      <c r="K106" s="532">
        <f t="shared" si="74"/>
        <v>398.16842524387812</v>
      </c>
      <c r="L106" s="373">
        <f t="shared" si="61"/>
        <v>30</v>
      </c>
    </row>
    <row r="107" spans="1:12" ht="14.4" thickBot="1" x14ac:dyDescent="0.3">
      <c r="A107" s="355" t="s">
        <v>446</v>
      </c>
      <c r="B107" s="453"/>
      <c r="C107" s="398">
        <v>3811</v>
      </c>
      <c r="D107" s="374" t="s">
        <v>399</v>
      </c>
      <c r="E107" s="361">
        <v>0</v>
      </c>
      <c r="F107" s="361">
        <v>0</v>
      </c>
      <c r="G107" s="363">
        <f t="shared" ref="G107:K107" si="75">F107/7.5345</f>
        <v>0</v>
      </c>
      <c r="H107" s="363">
        <v>10000</v>
      </c>
      <c r="I107" s="363">
        <v>-7000</v>
      </c>
      <c r="J107" s="363">
        <f>SUM(H107+I107)</f>
        <v>3000</v>
      </c>
      <c r="K107" s="532">
        <f t="shared" si="75"/>
        <v>398.16842524387812</v>
      </c>
      <c r="L107" s="373">
        <f t="shared" si="61"/>
        <v>30</v>
      </c>
    </row>
    <row r="108" spans="1:12" s="555" customFormat="1" ht="18" thickBot="1" x14ac:dyDescent="0.3">
      <c r="A108" s="876" t="s">
        <v>607</v>
      </c>
      <c r="B108" s="877"/>
      <c r="C108" s="877"/>
      <c r="D108" s="878"/>
      <c r="E108" s="544">
        <v>97000</v>
      </c>
      <c r="F108" s="544" t="e">
        <f t="shared" ref="F108:H108" si="76">SUM(F111+F117)</f>
        <v>#REF!</v>
      </c>
      <c r="G108" s="544" t="e">
        <f t="shared" si="76"/>
        <v>#REF!</v>
      </c>
      <c r="H108" s="544">
        <f t="shared" si="76"/>
        <v>30000</v>
      </c>
      <c r="I108" s="544">
        <f t="shared" ref="I108:J108" si="77">SUM(I111+I117)</f>
        <v>0</v>
      </c>
      <c r="J108" s="544">
        <f t="shared" si="77"/>
        <v>30000</v>
      </c>
      <c r="K108" s="549" t="e">
        <f t="shared" ref="K108" si="78">SUM(K111+K117)</f>
        <v>#REF!</v>
      </c>
      <c r="L108" s="544">
        <f t="shared" si="61"/>
        <v>100</v>
      </c>
    </row>
    <row r="109" spans="1:12" ht="13.8" x14ac:dyDescent="0.25">
      <c r="A109" s="401"/>
      <c r="B109" s="40"/>
      <c r="C109" s="40"/>
      <c r="D109" s="396" t="s">
        <v>178</v>
      </c>
      <c r="E109" s="373"/>
      <c r="F109" s="372"/>
      <c r="G109" s="372"/>
      <c r="H109" s="372"/>
      <c r="I109" s="372"/>
      <c r="J109" s="372"/>
      <c r="K109" s="529"/>
      <c r="L109" s="372"/>
    </row>
    <row r="110" spans="1:12" ht="13.8" x14ac:dyDescent="0.25">
      <c r="A110" s="401"/>
      <c r="B110" s="40"/>
      <c r="C110" s="40"/>
      <c r="D110" s="395" t="s">
        <v>654</v>
      </c>
      <c r="E110" s="363"/>
      <c r="F110" s="372"/>
      <c r="G110" s="372"/>
      <c r="H110" s="372"/>
      <c r="I110" s="372"/>
      <c r="J110" s="372"/>
      <c r="K110" s="529"/>
      <c r="L110" s="372"/>
    </row>
    <row r="111" spans="1:12" s="97" customFormat="1" ht="31.2" x14ac:dyDescent="0.3">
      <c r="A111" s="425"/>
      <c r="D111" s="427" t="s">
        <v>467</v>
      </c>
      <c r="E111" s="426">
        <v>87000</v>
      </c>
      <c r="F111" s="424">
        <f t="shared" ref="F111:K113" si="79">SUM(F112)</f>
        <v>100000</v>
      </c>
      <c r="G111" s="424">
        <f t="shared" si="79"/>
        <v>13272.280841462605</v>
      </c>
      <c r="H111" s="424">
        <f t="shared" si="79"/>
        <v>15000</v>
      </c>
      <c r="I111" s="424">
        <f t="shared" si="79"/>
        <v>0</v>
      </c>
      <c r="J111" s="424">
        <f t="shared" si="79"/>
        <v>15000</v>
      </c>
      <c r="K111" s="530">
        <f t="shared" si="79"/>
        <v>113017.5</v>
      </c>
      <c r="L111" s="381">
        <f t="shared" si="61"/>
        <v>100</v>
      </c>
    </row>
    <row r="112" spans="1:12" s="28" customFormat="1" ht="13.8" x14ac:dyDescent="0.25">
      <c r="A112" s="358" t="s">
        <v>446</v>
      </c>
      <c r="B112" s="447"/>
      <c r="C112" s="354">
        <v>35</v>
      </c>
      <c r="D112" s="365" t="s">
        <v>75</v>
      </c>
      <c r="E112" s="362">
        <v>87000</v>
      </c>
      <c r="F112" s="362">
        <f t="shared" si="79"/>
        <v>100000</v>
      </c>
      <c r="G112" s="362">
        <f t="shared" si="79"/>
        <v>13272.280841462605</v>
      </c>
      <c r="H112" s="362">
        <f t="shared" si="79"/>
        <v>15000</v>
      </c>
      <c r="I112" s="362">
        <f t="shared" si="79"/>
        <v>0</v>
      </c>
      <c r="J112" s="362">
        <f t="shared" si="79"/>
        <v>15000</v>
      </c>
      <c r="K112" s="533">
        <f t="shared" si="79"/>
        <v>113017.5</v>
      </c>
      <c r="L112" s="381">
        <f t="shared" si="61"/>
        <v>100</v>
      </c>
    </row>
    <row r="113" spans="1:12" ht="13.8" x14ac:dyDescent="0.25">
      <c r="A113" s="355" t="s">
        <v>446</v>
      </c>
      <c r="B113" s="446"/>
      <c r="C113" s="367">
        <v>352</v>
      </c>
      <c r="D113" s="368" t="s">
        <v>400</v>
      </c>
      <c r="E113" s="363">
        <v>87000</v>
      </c>
      <c r="F113" s="363">
        <f t="shared" si="79"/>
        <v>100000</v>
      </c>
      <c r="G113" s="363">
        <f t="shared" si="79"/>
        <v>13272.280841462605</v>
      </c>
      <c r="H113" s="363">
        <f t="shared" si="79"/>
        <v>15000</v>
      </c>
      <c r="I113" s="363">
        <f t="shared" si="79"/>
        <v>0</v>
      </c>
      <c r="J113" s="363">
        <f t="shared" si="79"/>
        <v>15000</v>
      </c>
      <c r="K113" s="532">
        <f t="shared" si="79"/>
        <v>113017.5</v>
      </c>
      <c r="L113" s="373">
        <f t="shared" si="61"/>
        <v>100</v>
      </c>
    </row>
    <row r="114" spans="1:12" s="390" customFormat="1" ht="14.4" thickBot="1" x14ac:dyDescent="0.3">
      <c r="A114" s="404" t="s">
        <v>446</v>
      </c>
      <c r="B114" s="448"/>
      <c r="C114" s="386">
        <v>3522</v>
      </c>
      <c r="D114" s="387" t="s">
        <v>401</v>
      </c>
      <c r="E114" s="388">
        <v>87000</v>
      </c>
      <c r="F114" s="388">
        <v>100000</v>
      </c>
      <c r="G114" s="388">
        <f>F114/7.5345</f>
        <v>13272.280841462605</v>
      </c>
      <c r="H114" s="388">
        <v>15000</v>
      </c>
      <c r="I114" s="388">
        <v>0</v>
      </c>
      <c r="J114" s="388">
        <f>SUM(H114+I114)</f>
        <v>15000</v>
      </c>
      <c r="K114" s="534">
        <f>J114*7.5345</f>
        <v>113017.5</v>
      </c>
      <c r="L114" s="373">
        <f t="shared" si="61"/>
        <v>100</v>
      </c>
    </row>
    <row r="115" spans="1:12" ht="14.4" thickTop="1" x14ac:dyDescent="0.25">
      <c r="A115" s="401"/>
      <c r="B115" s="451"/>
      <c r="C115" s="40"/>
      <c r="D115" s="396" t="s">
        <v>178</v>
      </c>
      <c r="E115" s="373"/>
      <c r="F115" s="372"/>
      <c r="G115" s="372"/>
      <c r="H115" s="372"/>
      <c r="I115" s="372"/>
      <c r="J115" s="372"/>
      <c r="K115" s="529"/>
      <c r="L115" s="849">
        <f>AVERAGE(J117/H117*100)</f>
        <v>100</v>
      </c>
    </row>
    <row r="116" spans="1:12" ht="13.8" x14ac:dyDescent="0.25">
      <c r="A116" s="401"/>
      <c r="B116" s="451"/>
      <c r="C116" s="40"/>
      <c r="D116" s="395" t="s">
        <v>256</v>
      </c>
      <c r="E116" s="363"/>
      <c r="F116" s="372"/>
      <c r="G116" s="372"/>
      <c r="H116" s="372"/>
      <c r="I116" s="372"/>
      <c r="J116" s="372"/>
      <c r="K116" s="529"/>
      <c r="L116" s="850"/>
    </row>
    <row r="117" spans="1:12" s="97" customFormat="1" ht="31.2" x14ac:dyDescent="0.3">
      <c r="A117" s="425"/>
      <c r="B117" s="452"/>
      <c r="D117" s="427" t="s">
        <v>421</v>
      </c>
      <c r="E117" s="426">
        <v>87000</v>
      </c>
      <c r="F117" s="424" t="e">
        <f t="shared" ref="F117:K119" si="80">SUM(F118)</f>
        <v>#REF!</v>
      </c>
      <c r="G117" s="424" t="e">
        <f t="shared" si="80"/>
        <v>#REF!</v>
      </c>
      <c r="H117" s="424">
        <f t="shared" si="80"/>
        <v>15000</v>
      </c>
      <c r="I117" s="424">
        <f t="shared" si="80"/>
        <v>0</v>
      </c>
      <c r="J117" s="424">
        <f t="shared" si="80"/>
        <v>15000</v>
      </c>
      <c r="K117" s="424" t="e">
        <f t="shared" si="80"/>
        <v>#REF!</v>
      </c>
      <c r="L117" s="851"/>
    </row>
    <row r="118" spans="1:12" s="28" customFormat="1" ht="13.8" x14ac:dyDescent="0.25">
      <c r="A118" s="358" t="s">
        <v>522</v>
      </c>
      <c r="B118" s="447"/>
      <c r="C118" s="354">
        <v>35</v>
      </c>
      <c r="D118" s="365" t="s">
        <v>75</v>
      </c>
      <c r="E118" s="362">
        <v>87000</v>
      </c>
      <c r="F118" s="362" t="e">
        <f t="shared" si="80"/>
        <v>#REF!</v>
      </c>
      <c r="G118" s="362" t="e">
        <f t="shared" si="80"/>
        <v>#REF!</v>
      </c>
      <c r="H118" s="362">
        <f t="shared" si="80"/>
        <v>15000</v>
      </c>
      <c r="I118" s="362">
        <f t="shared" si="80"/>
        <v>0</v>
      </c>
      <c r="J118" s="362">
        <f t="shared" si="80"/>
        <v>15000</v>
      </c>
      <c r="K118" s="533" t="e">
        <f t="shared" si="80"/>
        <v>#REF!</v>
      </c>
      <c r="L118" s="734">
        <f>AVERAGE(J118/H118*100)</f>
        <v>100</v>
      </c>
    </row>
    <row r="119" spans="1:12" ht="13.8" x14ac:dyDescent="0.25">
      <c r="A119" s="355" t="s">
        <v>522</v>
      </c>
      <c r="B119" s="446"/>
      <c r="C119" s="367">
        <v>352</v>
      </c>
      <c r="D119" s="368" t="s">
        <v>400</v>
      </c>
      <c r="E119" s="363">
        <v>87000</v>
      </c>
      <c r="F119" s="363" t="e">
        <f>SUM(F120+#REF!)</f>
        <v>#REF!</v>
      </c>
      <c r="G119" s="363" t="e">
        <f>SUM(G120+#REF!)</f>
        <v>#REF!</v>
      </c>
      <c r="H119" s="363">
        <f>SUM(H120)</f>
        <v>15000</v>
      </c>
      <c r="I119" s="363">
        <f t="shared" si="80"/>
        <v>0</v>
      </c>
      <c r="J119" s="363">
        <f t="shared" si="80"/>
        <v>15000</v>
      </c>
      <c r="K119" s="532" t="e">
        <f>SUM(K120+#REF!)</f>
        <v>#REF!</v>
      </c>
      <c r="L119" s="384">
        <f t="shared" ref="L119:L120" si="81">AVERAGE(J119/H119*100)</f>
        <v>100</v>
      </c>
    </row>
    <row r="120" spans="1:12" ht="14.25" customHeight="1" thickBot="1" x14ac:dyDescent="0.3">
      <c r="A120" s="355" t="s">
        <v>522</v>
      </c>
      <c r="B120" s="453"/>
      <c r="C120" s="399">
        <v>3523</v>
      </c>
      <c r="D120" s="370" t="s">
        <v>481</v>
      </c>
      <c r="E120" s="361">
        <v>87000</v>
      </c>
      <c r="F120" s="361">
        <v>50000</v>
      </c>
      <c r="G120" s="363">
        <f>F120/7.5345</f>
        <v>6636.1404207313026</v>
      </c>
      <c r="H120" s="363">
        <v>15000</v>
      </c>
      <c r="I120" s="363">
        <v>0</v>
      </c>
      <c r="J120" s="363">
        <f>SUM(H120+I120)</f>
        <v>15000</v>
      </c>
      <c r="K120" s="532">
        <f>J120*7.5345</f>
        <v>113017.5</v>
      </c>
      <c r="L120" s="384">
        <f t="shared" si="81"/>
        <v>100</v>
      </c>
    </row>
    <row r="121" spans="1:12" s="210" customFormat="1" ht="18" thickBot="1" x14ac:dyDescent="0.3">
      <c r="A121" s="879" t="s">
        <v>608</v>
      </c>
      <c r="B121" s="880"/>
      <c r="C121" s="880"/>
      <c r="D121" s="881"/>
      <c r="E121" s="544"/>
      <c r="F121" s="544">
        <f t="shared" ref="F121:H121" si="82">F124</f>
        <v>60000</v>
      </c>
      <c r="G121" s="544">
        <f t="shared" si="82"/>
        <v>7963.3685048775624</v>
      </c>
      <c r="H121" s="544">
        <f t="shared" si="82"/>
        <v>8000</v>
      </c>
      <c r="I121" s="544">
        <f t="shared" ref="I121:J121" si="83">I124</f>
        <v>-2800</v>
      </c>
      <c r="J121" s="544">
        <f t="shared" si="83"/>
        <v>5200</v>
      </c>
      <c r="K121" s="549">
        <f t="shared" ref="K121" si="84">K124</f>
        <v>39179.4</v>
      </c>
      <c r="L121" s="733">
        <f>AVERAGE(J121/H121*100)</f>
        <v>65</v>
      </c>
    </row>
    <row r="122" spans="1:12" ht="13.8" x14ac:dyDescent="0.25">
      <c r="A122" s="401"/>
      <c r="B122" s="40"/>
      <c r="C122" s="40"/>
      <c r="D122" s="395" t="s">
        <v>203</v>
      </c>
      <c r="E122" s="373">
        <v>25000</v>
      </c>
      <c r="F122" s="372"/>
      <c r="G122" s="372"/>
      <c r="H122" s="372"/>
      <c r="I122" s="372"/>
      <c r="J122" s="372"/>
      <c r="K122" s="529"/>
      <c r="L122" s="383"/>
    </row>
    <row r="123" spans="1:12" s="97" customFormat="1" ht="15.6" x14ac:dyDescent="0.3">
      <c r="A123" s="401"/>
      <c r="B123" s="40"/>
      <c r="C123" s="40"/>
      <c r="D123" s="395" t="s">
        <v>651</v>
      </c>
      <c r="E123" s="363"/>
      <c r="F123" s="372"/>
      <c r="G123" s="372"/>
      <c r="H123" s="372"/>
      <c r="I123" s="372"/>
      <c r="J123" s="372"/>
      <c r="K123" s="529"/>
      <c r="L123" s="383"/>
    </row>
    <row r="124" spans="1:12" s="28" customFormat="1" ht="15.6" x14ac:dyDescent="0.3">
      <c r="A124" s="425"/>
      <c r="B124" s="97"/>
      <c r="C124" s="97"/>
      <c r="D124" s="429" t="s">
        <v>422</v>
      </c>
      <c r="E124" s="426">
        <v>25000</v>
      </c>
      <c r="F124" s="424">
        <f t="shared" ref="F124:K126" si="85">SUM(F125)</f>
        <v>60000</v>
      </c>
      <c r="G124" s="424">
        <f t="shared" si="85"/>
        <v>7963.3685048775624</v>
      </c>
      <c r="H124" s="424">
        <f t="shared" si="85"/>
        <v>8000</v>
      </c>
      <c r="I124" s="424">
        <f t="shared" si="85"/>
        <v>-2800</v>
      </c>
      <c r="J124" s="424">
        <f t="shared" si="85"/>
        <v>5200</v>
      </c>
      <c r="K124" s="530">
        <f t="shared" si="85"/>
        <v>39179.4</v>
      </c>
      <c r="L124" s="734">
        <f>AVERAGE(J124/H124*100)</f>
        <v>65</v>
      </c>
    </row>
    <row r="125" spans="1:12" ht="13.8" x14ac:dyDescent="0.25">
      <c r="A125" s="358" t="s">
        <v>447</v>
      </c>
      <c r="B125" s="364"/>
      <c r="C125" s="377">
        <v>32</v>
      </c>
      <c r="D125" s="364" t="s">
        <v>180</v>
      </c>
      <c r="E125" s="362">
        <v>25000</v>
      </c>
      <c r="F125" s="362">
        <f t="shared" si="85"/>
        <v>60000</v>
      </c>
      <c r="G125" s="362">
        <f t="shared" si="85"/>
        <v>7963.3685048775624</v>
      </c>
      <c r="H125" s="362">
        <f t="shared" si="85"/>
        <v>8000</v>
      </c>
      <c r="I125" s="362">
        <f t="shared" si="85"/>
        <v>-2800</v>
      </c>
      <c r="J125" s="362">
        <f t="shared" si="85"/>
        <v>5200</v>
      </c>
      <c r="K125" s="533">
        <f t="shared" si="85"/>
        <v>39179.4</v>
      </c>
      <c r="L125" s="734">
        <f t="shared" ref="L125:L127" si="86">AVERAGE(J125/H125*100)</f>
        <v>65</v>
      </c>
    </row>
    <row r="126" spans="1:12" ht="13.8" x14ac:dyDescent="0.25">
      <c r="A126" s="355" t="s">
        <v>447</v>
      </c>
      <c r="B126" s="366"/>
      <c r="C126" s="375">
        <v>323</v>
      </c>
      <c r="D126" s="366" t="s">
        <v>56</v>
      </c>
      <c r="E126" s="363">
        <v>25000</v>
      </c>
      <c r="F126" s="363">
        <f t="shared" si="85"/>
        <v>60000</v>
      </c>
      <c r="G126" s="363">
        <f t="shared" si="85"/>
        <v>7963.3685048775624</v>
      </c>
      <c r="H126" s="363">
        <f t="shared" si="85"/>
        <v>8000</v>
      </c>
      <c r="I126" s="363">
        <f t="shared" si="85"/>
        <v>-2800</v>
      </c>
      <c r="J126" s="363">
        <f t="shared" si="85"/>
        <v>5200</v>
      </c>
      <c r="K126" s="532">
        <f t="shared" si="85"/>
        <v>39179.4</v>
      </c>
      <c r="L126" s="384">
        <f t="shared" si="86"/>
        <v>65</v>
      </c>
    </row>
    <row r="127" spans="1:12" s="440" customFormat="1" ht="14.4" thickBot="1" x14ac:dyDescent="0.3">
      <c r="A127" s="355" t="s">
        <v>447</v>
      </c>
      <c r="B127" s="453"/>
      <c r="C127" s="398">
        <v>3237</v>
      </c>
      <c r="D127" s="374" t="s">
        <v>62</v>
      </c>
      <c r="E127" s="361">
        <v>25000</v>
      </c>
      <c r="F127" s="361">
        <v>60000</v>
      </c>
      <c r="G127" s="363">
        <f>F127/7.5345</f>
        <v>7963.3685048775624</v>
      </c>
      <c r="H127" s="363">
        <v>8000</v>
      </c>
      <c r="I127" s="363">
        <v>-2800</v>
      </c>
      <c r="J127" s="363">
        <f>SUM(H127+I127)</f>
        <v>5200</v>
      </c>
      <c r="K127" s="532">
        <f>J127*7.5345</f>
        <v>39179.4</v>
      </c>
      <c r="L127" s="384">
        <f t="shared" si="86"/>
        <v>65</v>
      </c>
    </row>
    <row r="128" spans="1:12" s="210" customFormat="1" ht="18" thickBot="1" x14ac:dyDescent="0.3">
      <c r="A128" s="879" t="s">
        <v>609</v>
      </c>
      <c r="B128" s="880"/>
      <c r="C128" s="880"/>
      <c r="D128" s="881"/>
      <c r="E128" s="544">
        <v>60000</v>
      </c>
      <c r="F128" s="544">
        <f t="shared" ref="F128:H128" si="87">SUM(F131)</f>
        <v>25000</v>
      </c>
      <c r="G128" s="544">
        <f t="shared" si="87"/>
        <v>3318.0702103656513</v>
      </c>
      <c r="H128" s="544">
        <f t="shared" si="87"/>
        <v>4500</v>
      </c>
      <c r="I128" s="544">
        <f t="shared" ref="I128:J128" si="88">SUM(I131)</f>
        <v>0</v>
      </c>
      <c r="J128" s="544">
        <f t="shared" si="88"/>
        <v>4500</v>
      </c>
      <c r="K128" s="549">
        <f t="shared" ref="K128" si="89">SUM(K131)</f>
        <v>33905.25</v>
      </c>
      <c r="L128" s="733">
        <f>AVERAGE(J128/H128*100)</f>
        <v>100</v>
      </c>
    </row>
    <row r="129" spans="1:12" ht="13.8" x14ac:dyDescent="0.25">
      <c r="A129" s="401"/>
      <c r="B129" s="40"/>
      <c r="C129" s="40"/>
      <c r="D129" s="395" t="s">
        <v>203</v>
      </c>
      <c r="E129" s="373"/>
      <c r="F129" s="372"/>
      <c r="G129" s="372"/>
      <c r="H129" s="372"/>
      <c r="I129" s="372"/>
      <c r="J129" s="372"/>
      <c r="K129" s="529"/>
      <c r="L129" s="861">
        <f>AVERAGE(J131/H131*100)</f>
        <v>100</v>
      </c>
    </row>
    <row r="130" spans="1:12" s="97" customFormat="1" ht="15.6" x14ac:dyDescent="0.3">
      <c r="A130" s="401"/>
      <c r="B130" s="40"/>
      <c r="C130" s="40"/>
      <c r="D130" s="395" t="s">
        <v>651</v>
      </c>
      <c r="E130" s="363"/>
      <c r="F130" s="372"/>
      <c r="G130" s="372"/>
      <c r="H130" s="372"/>
      <c r="I130" s="372"/>
      <c r="J130" s="372"/>
      <c r="K130" s="529"/>
      <c r="L130" s="850"/>
    </row>
    <row r="131" spans="1:12" s="28" customFormat="1" ht="15.6" x14ac:dyDescent="0.3">
      <c r="A131" s="425"/>
      <c r="B131" s="97"/>
      <c r="C131" s="97"/>
      <c r="D131" s="422" t="s">
        <v>423</v>
      </c>
      <c r="E131" s="426">
        <v>60000</v>
      </c>
      <c r="F131" s="424">
        <f t="shared" ref="F131:K132" si="90">SUM(F132)</f>
        <v>25000</v>
      </c>
      <c r="G131" s="424">
        <f t="shared" si="90"/>
        <v>3318.0702103656513</v>
      </c>
      <c r="H131" s="424">
        <f t="shared" si="90"/>
        <v>4500</v>
      </c>
      <c r="I131" s="424">
        <f t="shared" si="90"/>
        <v>0</v>
      </c>
      <c r="J131" s="424">
        <f t="shared" si="90"/>
        <v>4500</v>
      </c>
      <c r="K131" s="530">
        <f t="shared" si="90"/>
        <v>33905.25</v>
      </c>
      <c r="L131" s="851"/>
    </row>
    <row r="132" spans="1:12" ht="13.8" x14ac:dyDescent="0.25">
      <c r="A132" s="358" t="s">
        <v>448</v>
      </c>
      <c r="B132" s="447"/>
      <c r="C132" s="377">
        <v>38</v>
      </c>
      <c r="D132" s="364" t="s">
        <v>198</v>
      </c>
      <c r="E132" s="362">
        <v>60000</v>
      </c>
      <c r="F132" s="362">
        <f t="shared" si="90"/>
        <v>25000</v>
      </c>
      <c r="G132" s="362">
        <f t="shared" si="90"/>
        <v>3318.0702103656513</v>
      </c>
      <c r="H132" s="362">
        <f t="shared" si="90"/>
        <v>4500</v>
      </c>
      <c r="I132" s="362">
        <f t="shared" si="90"/>
        <v>0</v>
      </c>
      <c r="J132" s="362">
        <f t="shared" si="90"/>
        <v>4500</v>
      </c>
      <c r="K132" s="533">
        <f t="shared" si="90"/>
        <v>33905.25</v>
      </c>
      <c r="L132" s="734">
        <f>AVERAGE(J132/H132*100)</f>
        <v>100</v>
      </c>
    </row>
    <row r="133" spans="1:12" ht="13.8" x14ac:dyDescent="0.25">
      <c r="A133" s="355" t="s">
        <v>448</v>
      </c>
      <c r="B133" s="446"/>
      <c r="C133" s="375">
        <v>381</v>
      </c>
      <c r="D133" s="366" t="s">
        <v>37</v>
      </c>
      <c r="E133" s="363">
        <v>60000</v>
      </c>
      <c r="F133" s="363">
        <f t="shared" ref="F133:J133" si="91">SUM(F134:F135)</f>
        <v>25000</v>
      </c>
      <c r="G133" s="363">
        <f t="shared" si="91"/>
        <v>3318.0702103656513</v>
      </c>
      <c r="H133" s="363">
        <f t="shared" si="91"/>
        <v>4500</v>
      </c>
      <c r="I133" s="363">
        <f t="shared" si="91"/>
        <v>0</v>
      </c>
      <c r="J133" s="363">
        <f t="shared" si="91"/>
        <v>4500</v>
      </c>
      <c r="K133" s="532">
        <f t="shared" ref="K133" si="92">SUM(K134:K135)</f>
        <v>33905.25</v>
      </c>
      <c r="L133" s="384">
        <f t="shared" ref="L133:L135" si="93">AVERAGE(J133/H133*100)</f>
        <v>100</v>
      </c>
    </row>
    <row r="134" spans="1:12" ht="13.8" x14ac:dyDescent="0.25">
      <c r="A134" s="355" t="s">
        <v>448</v>
      </c>
      <c r="B134" s="446"/>
      <c r="C134" s="375">
        <v>3811</v>
      </c>
      <c r="D134" s="366" t="s">
        <v>402</v>
      </c>
      <c r="E134" s="363">
        <v>10000</v>
      </c>
      <c r="F134" s="363">
        <v>0</v>
      </c>
      <c r="G134" s="363">
        <f>F134/7.5345</f>
        <v>0</v>
      </c>
      <c r="H134" s="363">
        <v>1000</v>
      </c>
      <c r="I134" s="363">
        <v>0</v>
      </c>
      <c r="J134" s="363">
        <f>SUM(H134+I134)</f>
        <v>1000</v>
      </c>
      <c r="K134" s="532">
        <f>J134*7.5345</f>
        <v>7534.5</v>
      </c>
      <c r="L134" s="384">
        <f t="shared" si="93"/>
        <v>100</v>
      </c>
    </row>
    <row r="135" spans="1:12" s="440" customFormat="1" ht="14.4" thickBot="1" x14ac:dyDescent="0.3">
      <c r="A135" s="355" t="s">
        <v>448</v>
      </c>
      <c r="B135" s="453"/>
      <c r="C135" s="398">
        <v>3812</v>
      </c>
      <c r="D135" s="374" t="s">
        <v>206</v>
      </c>
      <c r="E135" s="361">
        <v>50000</v>
      </c>
      <c r="F135" s="361">
        <v>25000</v>
      </c>
      <c r="G135" s="363">
        <f>F135/7.5345</f>
        <v>3318.0702103656513</v>
      </c>
      <c r="H135" s="615">
        <v>3500</v>
      </c>
      <c r="I135" s="615">
        <v>0</v>
      </c>
      <c r="J135" s="363">
        <f>SUM(H135+I135)</f>
        <v>3500</v>
      </c>
      <c r="K135" s="532">
        <f>J135*7.5345</f>
        <v>26370.75</v>
      </c>
      <c r="L135" s="384">
        <f t="shared" si="93"/>
        <v>100</v>
      </c>
    </row>
    <row r="136" spans="1:12" s="112" customFormat="1" ht="18" thickBot="1" x14ac:dyDescent="0.3">
      <c r="A136" s="876" t="s">
        <v>610</v>
      </c>
      <c r="B136" s="877"/>
      <c r="C136" s="877"/>
      <c r="D136" s="878"/>
      <c r="E136" s="544">
        <v>5000</v>
      </c>
      <c r="F136" s="544">
        <f t="shared" ref="F136:H136" si="94">SUM(F139)</f>
        <v>5000</v>
      </c>
      <c r="G136" s="544">
        <f t="shared" si="94"/>
        <v>663.61404207313024</v>
      </c>
      <c r="H136" s="544">
        <f t="shared" si="94"/>
        <v>1000</v>
      </c>
      <c r="I136" s="544">
        <f t="shared" ref="I136:J136" si="95">SUM(I139)</f>
        <v>0</v>
      </c>
      <c r="J136" s="544">
        <f t="shared" si="95"/>
        <v>1000</v>
      </c>
      <c r="K136" s="549">
        <f t="shared" ref="K136" si="96">SUM(K139)</f>
        <v>7534.5</v>
      </c>
      <c r="L136" s="733">
        <f>AVERAGE(J136/H136*100)</f>
        <v>100</v>
      </c>
    </row>
    <row r="137" spans="1:12" ht="13.8" x14ac:dyDescent="0.25">
      <c r="A137" s="401"/>
      <c r="B137" s="40"/>
      <c r="C137" s="40"/>
      <c r="D137" s="395" t="s">
        <v>203</v>
      </c>
      <c r="E137" s="373"/>
      <c r="F137" s="372"/>
      <c r="G137" s="372"/>
      <c r="H137" s="372"/>
      <c r="I137" s="372"/>
      <c r="J137" s="372"/>
      <c r="K137" s="529"/>
      <c r="L137" s="861">
        <f>AVERAGE(J139/H139*100)</f>
        <v>100</v>
      </c>
    </row>
    <row r="138" spans="1:12" s="97" customFormat="1" ht="15.6" x14ac:dyDescent="0.3">
      <c r="A138" s="401"/>
      <c r="B138" s="40"/>
      <c r="C138" s="40"/>
      <c r="D138" s="395" t="s">
        <v>651</v>
      </c>
      <c r="E138" s="363"/>
      <c r="F138" s="372"/>
      <c r="G138" s="372"/>
      <c r="H138" s="372"/>
      <c r="I138" s="372"/>
      <c r="J138" s="372"/>
      <c r="K138" s="529"/>
      <c r="L138" s="850"/>
    </row>
    <row r="139" spans="1:12" s="28" customFormat="1" ht="15.6" x14ac:dyDescent="0.3">
      <c r="A139" s="425"/>
      <c r="B139" s="97"/>
      <c r="C139" s="97"/>
      <c r="D139" s="422" t="s">
        <v>424</v>
      </c>
      <c r="E139" s="426">
        <v>5000</v>
      </c>
      <c r="F139" s="424">
        <f t="shared" ref="F139:K141" si="97">SUM(F140)</f>
        <v>5000</v>
      </c>
      <c r="G139" s="424">
        <f t="shared" si="97"/>
        <v>663.61404207313024</v>
      </c>
      <c r="H139" s="424">
        <f t="shared" si="97"/>
        <v>1000</v>
      </c>
      <c r="I139" s="424">
        <f t="shared" si="97"/>
        <v>0</v>
      </c>
      <c r="J139" s="424">
        <f t="shared" si="97"/>
        <v>1000</v>
      </c>
      <c r="K139" s="530">
        <f t="shared" si="97"/>
        <v>7534.5</v>
      </c>
      <c r="L139" s="851"/>
    </row>
    <row r="140" spans="1:12" ht="13.8" x14ac:dyDescent="0.25">
      <c r="A140" s="358" t="s">
        <v>449</v>
      </c>
      <c r="B140" s="364"/>
      <c r="C140" s="377">
        <v>38</v>
      </c>
      <c r="D140" s="364" t="s">
        <v>198</v>
      </c>
      <c r="E140" s="362">
        <v>5000</v>
      </c>
      <c r="F140" s="362">
        <f t="shared" si="97"/>
        <v>5000</v>
      </c>
      <c r="G140" s="362">
        <f t="shared" si="97"/>
        <v>663.61404207313024</v>
      </c>
      <c r="H140" s="362">
        <f t="shared" si="97"/>
        <v>1000</v>
      </c>
      <c r="I140" s="362">
        <f t="shared" si="97"/>
        <v>0</v>
      </c>
      <c r="J140" s="362">
        <f t="shared" si="97"/>
        <v>1000</v>
      </c>
      <c r="K140" s="533">
        <f t="shared" si="97"/>
        <v>7534.5</v>
      </c>
      <c r="L140" s="734">
        <f>AVERAGE(J140/H140*100)</f>
        <v>100</v>
      </c>
    </row>
    <row r="141" spans="1:12" ht="13.8" x14ac:dyDescent="0.25">
      <c r="A141" s="355" t="s">
        <v>449</v>
      </c>
      <c r="B141" s="366"/>
      <c r="C141" s="375">
        <v>381</v>
      </c>
      <c r="D141" s="366" t="s">
        <v>37</v>
      </c>
      <c r="E141" s="363">
        <v>5000</v>
      </c>
      <c r="F141" s="363">
        <f t="shared" si="97"/>
        <v>5000</v>
      </c>
      <c r="G141" s="363">
        <f t="shared" si="97"/>
        <v>663.61404207313024</v>
      </c>
      <c r="H141" s="363">
        <f t="shared" si="97"/>
        <v>1000</v>
      </c>
      <c r="I141" s="363">
        <f t="shared" si="97"/>
        <v>0</v>
      </c>
      <c r="J141" s="363">
        <f t="shared" si="97"/>
        <v>1000</v>
      </c>
      <c r="K141" s="532">
        <f t="shared" si="97"/>
        <v>7534.5</v>
      </c>
      <c r="L141" s="384">
        <f t="shared" ref="L141:L142" si="98">AVERAGE(J141/H141*100)</f>
        <v>100</v>
      </c>
    </row>
    <row r="142" spans="1:12" s="440" customFormat="1" ht="14.4" thickBot="1" x14ac:dyDescent="0.3">
      <c r="A142" s="355" t="s">
        <v>449</v>
      </c>
      <c r="B142" s="453"/>
      <c r="C142" s="398">
        <v>3811</v>
      </c>
      <c r="D142" s="374" t="s">
        <v>403</v>
      </c>
      <c r="E142" s="361">
        <v>5000</v>
      </c>
      <c r="F142" s="361">
        <v>5000</v>
      </c>
      <c r="G142" s="363">
        <f>F142/7.5345</f>
        <v>663.61404207313024</v>
      </c>
      <c r="H142" s="363">
        <v>1000</v>
      </c>
      <c r="I142" s="363">
        <v>0</v>
      </c>
      <c r="J142" s="363">
        <f>SUM(H142+I142)</f>
        <v>1000</v>
      </c>
      <c r="K142" s="532">
        <f>J142*7.5345</f>
        <v>7534.5</v>
      </c>
      <c r="L142" s="384">
        <f t="shared" si="98"/>
        <v>100</v>
      </c>
    </row>
    <row r="143" spans="1:12" s="210" customFormat="1" ht="18" thickBot="1" x14ac:dyDescent="0.3">
      <c r="A143" s="876" t="s">
        <v>611</v>
      </c>
      <c r="B143" s="877"/>
      <c r="C143" s="877"/>
      <c r="D143" s="878"/>
      <c r="E143" s="544">
        <v>5000</v>
      </c>
      <c r="F143" s="544">
        <f t="shared" ref="F143:H143" si="99">SUM(F146)</f>
        <v>5000</v>
      </c>
      <c r="G143" s="544">
        <f t="shared" si="99"/>
        <v>663.61404207313024</v>
      </c>
      <c r="H143" s="544">
        <f t="shared" si="99"/>
        <v>1500</v>
      </c>
      <c r="I143" s="544">
        <f t="shared" ref="I143:K143" si="100">SUM(I146)</f>
        <v>0</v>
      </c>
      <c r="J143" s="544">
        <f t="shared" si="100"/>
        <v>1500</v>
      </c>
      <c r="K143" s="549">
        <f t="shared" si="100"/>
        <v>11301.75</v>
      </c>
      <c r="L143" s="733">
        <f>AVERAGE(J143/H143*100)</f>
        <v>100</v>
      </c>
    </row>
    <row r="144" spans="1:12" ht="27.6" x14ac:dyDescent="0.25">
      <c r="A144" s="401"/>
      <c r="B144" s="40"/>
      <c r="C144" s="40"/>
      <c r="D144" s="396" t="s">
        <v>406</v>
      </c>
      <c r="E144" s="373"/>
      <c r="F144" s="372"/>
      <c r="G144" s="372"/>
      <c r="H144" s="372"/>
      <c r="I144" s="372"/>
      <c r="J144" s="372"/>
      <c r="K144" s="529"/>
      <c r="L144" s="861">
        <f>AVERAGE(J146/H146*100)</f>
        <v>100</v>
      </c>
    </row>
    <row r="145" spans="1:12" s="97" customFormat="1" ht="15.6" x14ac:dyDescent="0.3">
      <c r="A145" s="401"/>
      <c r="B145" s="40"/>
      <c r="C145" s="40"/>
      <c r="D145" s="395" t="s">
        <v>651</v>
      </c>
      <c r="E145" s="363"/>
      <c r="F145" s="372"/>
      <c r="G145" s="372"/>
      <c r="H145" s="372"/>
      <c r="I145" s="372"/>
      <c r="J145" s="372"/>
      <c r="K145" s="529"/>
      <c r="L145" s="850"/>
    </row>
    <row r="146" spans="1:12" s="97" customFormat="1" ht="15.6" x14ac:dyDescent="0.3">
      <c r="A146" s="425"/>
      <c r="D146" s="422" t="s">
        <v>601</v>
      </c>
      <c r="E146" s="426">
        <v>5000</v>
      </c>
      <c r="F146" s="424">
        <f t="shared" ref="F146:K148" si="101">SUM(F147)</f>
        <v>5000</v>
      </c>
      <c r="G146" s="424">
        <f t="shared" si="101"/>
        <v>663.61404207313024</v>
      </c>
      <c r="H146" s="424">
        <f t="shared" si="101"/>
        <v>1500</v>
      </c>
      <c r="I146" s="424">
        <f t="shared" si="101"/>
        <v>0</v>
      </c>
      <c r="J146" s="424">
        <f t="shared" si="101"/>
        <v>1500</v>
      </c>
      <c r="K146" s="530">
        <f t="shared" si="101"/>
        <v>11301.75</v>
      </c>
      <c r="L146" s="851"/>
    </row>
    <row r="147" spans="1:12" s="28" customFormat="1" ht="13.8" x14ac:dyDescent="0.25">
      <c r="A147" s="358" t="s">
        <v>449</v>
      </c>
      <c r="B147" s="364"/>
      <c r="C147" s="377">
        <v>38</v>
      </c>
      <c r="D147" s="364" t="s">
        <v>198</v>
      </c>
      <c r="E147" s="362">
        <v>5000</v>
      </c>
      <c r="F147" s="362">
        <f t="shared" si="101"/>
        <v>5000</v>
      </c>
      <c r="G147" s="362">
        <f t="shared" si="101"/>
        <v>663.61404207313024</v>
      </c>
      <c r="H147" s="362">
        <f t="shared" si="101"/>
        <v>1500</v>
      </c>
      <c r="I147" s="362">
        <f t="shared" si="101"/>
        <v>0</v>
      </c>
      <c r="J147" s="362">
        <f t="shared" si="101"/>
        <v>1500</v>
      </c>
      <c r="K147" s="533">
        <f t="shared" si="101"/>
        <v>11301.75</v>
      </c>
      <c r="L147" s="734">
        <f>AVERAGE(J147/H147*100)</f>
        <v>100</v>
      </c>
    </row>
    <row r="148" spans="1:12" ht="13.8" x14ac:dyDescent="0.25">
      <c r="A148" s="355" t="s">
        <v>449</v>
      </c>
      <c r="B148" s="366"/>
      <c r="C148" s="375">
        <v>381</v>
      </c>
      <c r="D148" s="366" t="s">
        <v>37</v>
      </c>
      <c r="E148" s="363">
        <v>5000</v>
      </c>
      <c r="F148" s="363">
        <f t="shared" si="101"/>
        <v>5000</v>
      </c>
      <c r="G148" s="363">
        <f t="shared" si="101"/>
        <v>663.61404207313024</v>
      </c>
      <c r="H148" s="363">
        <f t="shared" si="101"/>
        <v>1500</v>
      </c>
      <c r="I148" s="363">
        <f t="shared" si="101"/>
        <v>0</v>
      </c>
      <c r="J148" s="363">
        <f t="shared" si="101"/>
        <v>1500</v>
      </c>
      <c r="K148" s="532">
        <f t="shared" si="101"/>
        <v>11301.75</v>
      </c>
      <c r="L148" s="384">
        <f t="shared" ref="L148:L149" si="102">AVERAGE(J148/H148*100)</f>
        <v>100</v>
      </c>
    </row>
    <row r="149" spans="1:12" ht="14.4" thickBot="1" x14ac:dyDescent="0.3">
      <c r="A149" s="355" t="s">
        <v>449</v>
      </c>
      <c r="B149" s="453"/>
      <c r="C149" s="398">
        <v>3811</v>
      </c>
      <c r="D149" s="374" t="s">
        <v>403</v>
      </c>
      <c r="E149" s="361">
        <v>5000</v>
      </c>
      <c r="F149" s="361">
        <v>5000</v>
      </c>
      <c r="G149" s="363">
        <f>F149/7.5345</f>
        <v>663.61404207313024</v>
      </c>
      <c r="H149" s="363">
        <v>1500</v>
      </c>
      <c r="I149" s="363">
        <v>0</v>
      </c>
      <c r="J149" s="363">
        <f>SUM(H149+I149)</f>
        <v>1500</v>
      </c>
      <c r="K149" s="532">
        <f>J149*7.5345</f>
        <v>11301.75</v>
      </c>
      <c r="L149" s="384">
        <f t="shared" si="102"/>
        <v>100</v>
      </c>
    </row>
    <row r="150" spans="1:12" ht="18" thickBot="1" x14ac:dyDescent="0.3">
      <c r="A150" s="879" t="s">
        <v>612</v>
      </c>
      <c r="B150" s="880"/>
      <c r="C150" s="880"/>
      <c r="D150" s="881"/>
      <c r="E150" s="544">
        <f>SUM(E154+E175+E181)</f>
        <v>335000</v>
      </c>
      <c r="F150" s="544">
        <f>SUM(F154+F175+F181)</f>
        <v>4275000</v>
      </c>
      <c r="G150" s="544">
        <f>SUM(G154+G175+G181)</f>
        <v>567390.00597252615</v>
      </c>
      <c r="H150" s="544">
        <f t="shared" ref="H150:K150" si="103">SUM(H154+H162+H175+H181)</f>
        <v>349500</v>
      </c>
      <c r="I150" s="544">
        <f t="shared" si="103"/>
        <v>23000</v>
      </c>
      <c r="J150" s="544">
        <f t="shared" si="103"/>
        <v>372500</v>
      </c>
      <c r="K150" s="549">
        <f t="shared" si="103"/>
        <v>2783997.75</v>
      </c>
      <c r="L150" s="733">
        <f>AVERAGE(J150/H150*100)</f>
        <v>106.58082975679541</v>
      </c>
    </row>
    <row r="151" spans="1:12" s="210" customFormat="1" ht="13.8" x14ac:dyDescent="0.25">
      <c r="A151" s="401"/>
      <c r="B151" s="40"/>
      <c r="C151" s="40"/>
      <c r="D151" s="396" t="s">
        <v>208</v>
      </c>
      <c r="E151" s="373"/>
      <c r="F151" s="372"/>
      <c r="G151" s="372"/>
      <c r="H151" s="617"/>
      <c r="I151" s="372"/>
      <c r="J151" s="372"/>
      <c r="K151" s="529"/>
      <c r="L151" s="372"/>
    </row>
    <row r="152" spans="1:12" s="210" customFormat="1" ht="13.8" x14ac:dyDescent="0.25">
      <c r="A152" s="401"/>
      <c r="B152" s="40"/>
      <c r="C152" s="40"/>
      <c r="D152" s="395" t="s">
        <v>655</v>
      </c>
      <c r="E152" s="363"/>
      <c r="F152" s="372"/>
      <c r="G152" s="545"/>
      <c r="H152" s="618"/>
      <c r="I152" s="545"/>
      <c r="J152" s="545"/>
      <c r="K152" s="562"/>
      <c r="L152" s="545"/>
    </row>
    <row r="153" spans="1:12" s="210" customFormat="1" ht="15.6" x14ac:dyDescent="0.3">
      <c r="A153" s="425"/>
      <c r="B153" s="97"/>
      <c r="C153" s="97"/>
      <c r="D153" s="893" t="s">
        <v>425</v>
      </c>
      <c r="E153" s="426"/>
      <c r="F153" s="428"/>
      <c r="G153" s="548"/>
      <c r="H153" s="619"/>
      <c r="I153" s="548"/>
      <c r="J153" s="548"/>
      <c r="K153" s="563"/>
      <c r="L153" s="548"/>
    </row>
    <row r="154" spans="1:12" s="97" customFormat="1" ht="15.6" x14ac:dyDescent="0.3">
      <c r="A154" s="425"/>
      <c r="D154" s="894"/>
      <c r="E154" s="426">
        <v>310000</v>
      </c>
      <c r="F154" s="424">
        <f t="shared" ref="F154:K155" si="104">SUM(F155)</f>
        <v>4180000</v>
      </c>
      <c r="G154" s="546">
        <f t="shared" si="104"/>
        <v>554781.33917313674</v>
      </c>
      <c r="H154" s="620">
        <f>SUM(H155)</f>
        <v>64000</v>
      </c>
      <c r="I154" s="620">
        <f t="shared" ref="I154:J155" si="105">SUM(I155)</f>
        <v>2000</v>
      </c>
      <c r="J154" s="620">
        <f t="shared" si="105"/>
        <v>66000</v>
      </c>
      <c r="K154" s="564">
        <f t="shared" si="104"/>
        <v>474673.5</v>
      </c>
      <c r="L154" s="614">
        <f t="shared" ref="L154:L157" si="106">AVERAGE(J154/H154*100)</f>
        <v>103.125</v>
      </c>
    </row>
    <row r="155" spans="1:12" s="28" customFormat="1" ht="13.8" x14ac:dyDescent="0.25">
      <c r="A155" s="358" t="s">
        <v>450</v>
      </c>
      <c r="B155" s="364"/>
      <c r="C155" s="354">
        <v>37</v>
      </c>
      <c r="D155" s="365" t="s">
        <v>77</v>
      </c>
      <c r="E155" s="362">
        <v>310000</v>
      </c>
      <c r="F155" s="362">
        <f t="shared" si="104"/>
        <v>4180000</v>
      </c>
      <c r="G155" s="547">
        <f t="shared" si="104"/>
        <v>554781.33917313674</v>
      </c>
      <c r="H155" s="547">
        <f>SUM(H156)</f>
        <v>64000</v>
      </c>
      <c r="I155" s="547">
        <f t="shared" si="105"/>
        <v>2000</v>
      </c>
      <c r="J155" s="547">
        <f t="shared" si="105"/>
        <v>66000</v>
      </c>
      <c r="K155" s="565">
        <f t="shared" si="104"/>
        <v>474673.5</v>
      </c>
      <c r="L155" s="362">
        <f t="shared" si="106"/>
        <v>103.125</v>
      </c>
    </row>
    <row r="156" spans="1:12" ht="13.8" x14ac:dyDescent="0.25">
      <c r="A156" s="355" t="s">
        <v>450</v>
      </c>
      <c r="B156" s="446"/>
      <c r="C156" s="367">
        <v>372</v>
      </c>
      <c r="D156" s="368" t="s">
        <v>77</v>
      </c>
      <c r="E156" s="363">
        <v>310000</v>
      </c>
      <c r="F156" s="363">
        <f>SUM(F157:F172)</f>
        <v>4180000</v>
      </c>
      <c r="G156" s="520">
        <f>SUM(G157:G172)</f>
        <v>554781.33917313674</v>
      </c>
      <c r="H156" s="520">
        <f t="shared" ref="H156:K156" si="107">SUM(H157:H159)</f>
        <v>64000</v>
      </c>
      <c r="I156" s="520">
        <f t="shared" si="107"/>
        <v>2000</v>
      </c>
      <c r="J156" s="520">
        <f t="shared" si="107"/>
        <v>66000</v>
      </c>
      <c r="K156" s="595">
        <f t="shared" si="107"/>
        <v>474673.5</v>
      </c>
      <c r="L156" s="363">
        <f t="shared" si="106"/>
        <v>103.125</v>
      </c>
    </row>
    <row r="157" spans="1:12" ht="13.8" x14ac:dyDescent="0.25">
      <c r="A157" s="355" t="s">
        <v>450</v>
      </c>
      <c r="B157" s="446"/>
      <c r="C157" s="367">
        <v>3721</v>
      </c>
      <c r="D157" s="368" t="s">
        <v>412</v>
      </c>
      <c r="E157" s="363">
        <v>240000</v>
      </c>
      <c r="F157" s="363">
        <v>190000</v>
      </c>
      <c r="G157" s="520">
        <f t="shared" ref="G157:G172" si="108">F157/7.5345</f>
        <v>25217.333598778951</v>
      </c>
      <c r="H157" s="520">
        <v>15000</v>
      </c>
      <c r="I157" s="520">
        <v>0</v>
      </c>
      <c r="J157" s="520">
        <f>SUM(H157+I157)</f>
        <v>15000</v>
      </c>
      <c r="K157" s="532">
        <f t="shared" ref="K157:K172" si="109">J157*7.5345</f>
        <v>113017.5</v>
      </c>
      <c r="L157" s="363">
        <f t="shared" si="106"/>
        <v>100</v>
      </c>
    </row>
    <row r="158" spans="1:12" ht="27.6" x14ac:dyDescent="0.25">
      <c r="A158" s="518" t="s">
        <v>450</v>
      </c>
      <c r="B158" s="446"/>
      <c r="C158" s="376">
        <v>3721</v>
      </c>
      <c r="D158" s="519" t="s">
        <v>472</v>
      </c>
      <c r="E158" s="520">
        <v>240000</v>
      </c>
      <c r="F158" s="520">
        <v>150000</v>
      </c>
      <c r="G158" s="520">
        <f t="shared" si="108"/>
        <v>19908.421262193908</v>
      </c>
      <c r="H158" s="520">
        <v>33000</v>
      </c>
      <c r="I158" s="520">
        <v>15000</v>
      </c>
      <c r="J158" s="520">
        <f t="shared" ref="J158:J159" si="110">SUM(H158+I158)</f>
        <v>48000</v>
      </c>
      <c r="K158" s="595">
        <f t="shared" si="109"/>
        <v>361656</v>
      </c>
      <c r="L158" s="380">
        <f>AVERAGE(J158/H158*100)</f>
        <v>145.45454545454547</v>
      </c>
    </row>
    <row r="159" spans="1:12" s="210" customFormat="1" ht="28.2" thickBot="1" x14ac:dyDescent="0.3">
      <c r="A159" s="524" t="s">
        <v>450</v>
      </c>
      <c r="B159" s="448"/>
      <c r="C159" s="521">
        <v>3722</v>
      </c>
      <c r="D159" s="522" t="s">
        <v>590</v>
      </c>
      <c r="E159" s="523"/>
      <c r="F159" s="523"/>
      <c r="G159" s="523"/>
      <c r="H159" s="523">
        <v>16000</v>
      </c>
      <c r="I159" s="523">
        <v>-13000</v>
      </c>
      <c r="J159" s="523">
        <f t="shared" si="110"/>
        <v>3000</v>
      </c>
      <c r="K159" s="596"/>
      <c r="L159" s="389">
        <f>AVERAGE(J159/H159*100)</f>
        <v>18.75</v>
      </c>
    </row>
    <row r="160" spans="1:12" s="210" customFormat="1" ht="14.4" thickTop="1" x14ac:dyDescent="0.25">
      <c r="A160" s="401"/>
      <c r="B160" s="451"/>
      <c r="C160" s="40"/>
      <c r="D160" s="396" t="s">
        <v>208</v>
      </c>
      <c r="E160" s="373"/>
      <c r="F160" s="372"/>
      <c r="G160" s="372"/>
      <c r="H160" s="372"/>
      <c r="I160" s="372"/>
      <c r="J160" s="372"/>
      <c r="K160" s="529"/>
      <c r="L160" s="849">
        <f>AVERAGE(J162/H162*100)</f>
        <v>108.07339449541284</v>
      </c>
    </row>
    <row r="161" spans="1:12" s="210" customFormat="1" ht="13.8" x14ac:dyDescent="0.25">
      <c r="A161" s="401"/>
      <c r="B161" s="451"/>
      <c r="C161" s="40"/>
      <c r="D161" s="395" t="s">
        <v>655</v>
      </c>
      <c r="E161" s="363"/>
      <c r="F161" s="372"/>
      <c r="G161" s="372"/>
      <c r="H161" s="372"/>
      <c r="I161" s="372"/>
      <c r="J161" s="372"/>
      <c r="K161" s="529"/>
      <c r="L161" s="850"/>
    </row>
    <row r="162" spans="1:12" s="210" customFormat="1" ht="15.6" x14ac:dyDescent="0.3">
      <c r="A162" s="425"/>
      <c r="B162" s="452"/>
      <c r="C162" s="97"/>
      <c r="D162" s="429" t="s">
        <v>519</v>
      </c>
      <c r="E162" s="426">
        <v>15000</v>
      </c>
      <c r="F162" s="424">
        <f>SUM(F168)</f>
        <v>570000</v>
      </c>
      <c r="G162" s="424">
        <f>SUM(G168)</f>
        <v>75652.000796336841</v>
      </c>
      <c r="H162" s="424">
        <f>SUM(H163)</f>
        <v>272500</v>
      </c>
      <c r="I162" s="424">
        <f t="shared" ref="I162:J162" si="111">SUM(I163)</f>
        <v>22000</v>
      </c>
      <c r="J162" s="424">
        <f t="shared" si="111"/>
        <v>294500</v>
      </c>
      <c r="K162" s="530">
        <f t="shared" ref="K162" si="112">SUM(K163)</f>
        <v>2218910.25</v>
      </c>
      <c r="L162" s="851"/>
    </row>
    <row r="163" spans="1:12" s="210" customFormat="1" ht="13.8" x14ac:dyDescent="0.25">
      <c r="A163" s="358" t="s">
        <v>523</v>
      </c>
      <c r="B163" s="364"/>
      <c r="C163" s="354">
        <v>37</v>
      </c>
      <c r="D163" s="365" t="s">
        <v>77</v>
      </c>
      <c r="E163" s="362">
        <v>310000</v>
      </c>
      <c r="F163" s="362">
        <f t="shared" ref="F163:K163" si="113">SUM(F164)</f>
        <v>1140000</v>
      </c>
      <c r="G163" s="547">
        <f t="shared" si="113"/>
        <v>151304.00159267371</v>
      </c>
      <c r="H163" s="547">
        <f t="shared" si="113"/>
        <v>272500</v>
      </c>
      <c r="I163" s="547">
        <f t="shared" si="113"/>
        <v>22000</v>
      </c>
      <c r="J163" s="547">
        <f t="shared" si="113"/>
        <v>294500</v>
      </c>
      <c r="K163" s="565">
        <f t="shared" si="113"/>
        <v>2218910.25</v>
      </c>
      <c r="L163" s="734">
        <f>AVERAGE(J163/H163*100)</f>
        <v>108.07339449541284</v>
      </c>
    </row>
    <row r="164" spans="1:12" s="210" customFormat="1" ht="13.8" x14ac:dyDescent="0.25">
      <c r="A164" s="355" t="s">
        <v>523</v>
      </c>
      <c r="B164" s="446"/>
      <c r="C164" s="367">
        <v>372</v>
      </c>
      <c r="D164" s="368" t="s">
        <v>77</v>
      </c>
      <c r="E164" s="363">
        <v>310000</v>
      </c>
      <c r="F164" s="363">
        <f>SUM(F168:F184)</f>
        <v>1140000</v>
      </c>
      <c r="G164" s="520">
        <f>SUM(G168:G184)</f>
        <v>151304.00159267371</v>
      </c>
      <c r="H164" s="520">
        <f>SUM(H165:H172)</f>
        <v>272500</v>
      </c>
      <c r="I164" s="520">
        <f t="shared" ref="I164:J164" si="114">SUM(I165:I172)</f>
        <v>22000</v>
      </c>
      <c r="J164" s="520">
        <f t="shared" si="114"/>
        <v>294500</v>
      </c>
      <c r="K164" s="595">
        <f t="shared" ref="K164" si="115">SUM(K165:K172)</f>
        <v>2218910.25</v>
      </c>
      <c r="L164" s="384">
        <f t="shared" ref="L164:L172" si="116">AVERAGE(J164/H164*100)</f>
        <v>108.07339449541284</v>
      </c>
    </row>
    <row r="165" spans="1:12" s="590" customFormat="1" ht="14.4" thickBot="1" x14ac:dyDescent="0.3">
      <c r="A165" s="355" t="s">
        <v>523</v>
      </c>
      <c r="B165" s="446"/>
      <c r="C165" s="376">
        <v>3721</v>
      </c>
      <c r="D165" s="519" t="s">
        <v>508</v>
      </c>
      <c r="E165" s="520">
        <v>240000</v>
      </c>
      <c r="F165" s="520">
        <v>80000</v>
      </c>
      <c r="G165" s="520">
        <f>F165/7.5345</f>
        <v>10617.824673170084</v>
      </c>
      <c r="H165" s="520">
        <v>11000</v>
      </c>
      <c r="I165" s="520">
        <v>4000</v>
      </c>
      <c r="J165" s="520">
        <f>SUM(H165+I165)</f>
        <v>15000</v>
      </c>
      <c r="K165" s="595">
        <f>J165*7.5345</f>
        <v>113017.5</v>
      </c>
      <c r="L165" s="384">
        <f t="shared" si="116"/>
        <v>136.36363636363635</v>
      </c>
    </row>
    <row r="166" spans="1:12" s="97" customFormat="1" ht="16.2" thickTop="1" x14ac:dyDescent="0.3">
      <c r="A166" s="355" t="s">
        <v>523</v>
      </c>
      <c r="B166" s="446"/>
      <c r="C166" s="376">
        <v>3721</v>
      </c>
      <c r="D166" s="519" t="s">
        <v>509</v>
      </c>
      <c r="E166" s="520">
        <v>240000</v>
      </c>
      <c r="F166" s="520">
        <v>50000</v>
      </c>
      <c r="G166" s="520">
        <f>F166/7.5345</f>
        <v>6636.1404207313026</v>
      </c>
      <c r="H166" s="520">
        <v>8000</v>
      </c>
      <c r="I166" s="520">
        <v>4000</v>
      </c>
      <c r="J166" s="520">
        <f t="shared" ref="J166:J172" si="117">SUM(H166+I166)</f>
        <v>12000</v>
      </c>
      <c r="K166" s="595">
        <f>J166*7.5345</f>
        <v>90414</v>
      </c>
      <c r="L166" s="384">
        <f t="shared" si="116"/>
        <v>150</v>
      </c>
    </row>
    <row r="167" spans="1:12" s="28" customFormat="1" ht="13.8" x14ac:dyDescent="0.25">
      <c r="A167" s="355" t="s">
        <v>523</v>
      </c>
      <c r="B167" s="446"/>
      <c r="C167" s="376">
        <v>3721</v>
      </c>
      <c r="D167" s="519" t="s">
        <v>510</v>
      </c>
      <c r="E167" s="520">
        <v>240000</v>
      </c>
      <c r="F167" s="520">
        <v>100000</v>
      </c>
      <c r="G167" s="520">
        <f>F167/7.5345</f>
        <v>13272.280841462605</v>
      </c>
      <c r="H167" s="520">
        <v>18000</v>
      </c>
      <c r="I167" s="520">
        <v>0</v>
      </c>
      <c r="J167" s="520">
        <f t="shared" si="117"/>
        <v>18000</v>
      </c>
      <c r="K167" s="595">
        <f>J167*7.5345</f>
        <v>135621</v>
      </c>
      <c r="L167" s="384">
        <f t="shared" si="116"/>
        <v>100</v>
      </c>
    </row>
    <row r="168" spans="1:12" ht="13.8" x14ac:dyDescent="0.25">
      <c r="A168" s="355" t="s">
        <v>523</v>
      </c>
      <c r="B168" s="446"/>
      <c r="C168" s="376">
        <v>3722</v>
      </c>
      <c r="D168" s="519" t="s">
        <v>511</v>
      </c>
      <c r="E168" s="520">
        <v>70000</v>
      </c>
      <c r="F168" s="520">
        <v>570000</v>
      </c>
      <c r="G168" s="520">
        <f t="shared" si="108"/>
        <v>75652.000796336841</v>
      </c>
      <c r="H168" s="520">
        <v>175000</v>
      </c>
      <c r="I168" s="520">
        <v>0</v>
      </c>
      <c r="J168" s="520">
        <f t="shared" si="117"/>
        <v>175000</v>
      </c>
      <c r="K168" s="595">
        <f t="shared" si="109"/>
        <v>1318537.5</v>
      </c>
      <c r="L168" s="384">
        <f t="shared" si="116"/>
        <v>100</v>
      </c>
    </row>
    <row r="169" spans="1:12" ht="13.8" x14ac:dyDescent="0.25">
      <c r="A169" s="355" t="s">
        <v>523</v>
      </c>
      <c r="B169" s="446"/>
      <c r="C169" s="376">
        <v>3722</v>
      </c>
      <c r="D169" s="519" t="s">
        <v>512</v>
      </c>
      <c r="E169" s="520">
        <v>70000</v>
      </c>
      <c r="F169" s="520">
        <v>40000</v>
      </c>
      <c r="G169" s="520">
        <f t="shared" si="108"/>
        <v>5308.9123365850419</v>
      </c>
      <c r="H169" s="520">
        <v>5000</v>
      </c>
      <c r="I169" s="520">
        <v>6000</v>
      </c>
      <c r="J169" s="520">
        <f t="shared" si="117"/>
        <v>11000</v>
      </c>
      <c r="K169" s="595">
        <f t="shared" si="109"/>
        <v>82879.5</v>
      </c>
      <c r="L169" s="384">
        <f t="shared" si="116"/>
        <v>220.00000000000003</v>
      </c>
    </row>
    <row r="170" spans="1:12" ht="27.6" x14ac:dyDescent="0.25">
      <c r="A170" s="518" t="s">
        <v>523</v>
      </c>
      <c r="B170" s="446"/>
      <c r="C170" s="376">
        <v>3722</v>
      </c>
      <c r="D170" s="519" t="s">
        <v>413</v>
      </c>
      <c r="E170" s="520">
        <v>70000</v>
      </c>
      <c r="F170" s="520">
        <v>50000</v>
      </c>
      <c r="G170" s="520">
        <f t="shared" si="108"/>
        <v>6636.1404207313026</v>
      </c>
      <c r="H170" s="520">
        <v>38000</v>
      </c>
      <c r="I170" s="520">
        <v>6000</v>
      </c>
      <c r="J170" s="520">
        <f t="shared" si="117"/>
        <v>44000</v>
      </c>
      <c r="K170" s="595">
        <f t="shared" si="109"/>
        <v>331518</v>
      </c>
      <c r="L170" s="384">
        <f t="shared" si="116"/>
        <v>115.78947368421053</v>
      </c>
    </row>
    <row r="171" spans="1:12" s="390" customFormat="1" ht="28.2" thickBot="1" x14ac:dyDescent="0.3">
      <c r="A171" s="518" t="s">
        <v>523</v>
      </c>
      <c r="B171" s="446"/>
      <c r="C171" s="376">
        <v>3722</v>
      </c>
      <c r="D171" s="519" t="s">
        <v>414</v>
      </c>
      <c r="E171" s="520">
        <v>70000</v>
      </c>
      <c r="F171" s="520">
        <v>60000</v>
      </c>
      <c r="G171" s="520">
        <f t="shared" si="108"/>
        <v>7963.3685048775624</v>
      </c>
      <c r="H171" s="520">
        <v>9000</v>
      </c>
      <c r="I171" s="520">
        <v>1000</v>
      </c>
      <c r="J171" s="520">
        <f t="shared" si="117"/>
        <v>10000</v>
      </c>
      <c r="K171" s="595">
        <f t="shared" si="109"/>
        <v>75345</v>
      </c>
      <c r="L171" s="384">
        <f t="shared" si="116"/>
        <v>111.11111111111111</v>
      </c>
    </row>
    <row r="172" spans="1:12" s="97" customFormat="1" ht="28.8" thickTop="1" thickBot="1" x14ac:dyDescent="0.35">
      <c r="A172" s="524" t="s">
        <v>523</v>
      </c>
      <c r="B172" s="448"/>
      <c r="C172" s="521">
        <v>3722</v>
      </c>
      <c r="D172" s="522" t="s">
        <v>588</v>
      </c>
      <c r="E172" s="523">
        <v>70000</v>
      </c>
      <c r="F172" s="523">
        <v>40000</v>
      </c>
      <c r="G172" s="523">
        <f t="shared" si="108"/>
        <v>5308.9123365850419</v>
      </c>
      <c r="H172" s="523">
        <v>8500</v>
      </c>
      <c r="I172" s="523">
        <v>1000</v>
      </c>
      <c r="J172" s="520">
        <f t="shared" si="117"/>
        <v>9500</v>
      </c>
      <c r="K172" s="596">
        <f t="shared" si="109"/>
        <v>71577.75</v>
      </c>
      <c r="L172" s="384">
        <f t="shared" si="116"/>
        <v>111.76470588235294</v>
      </c>
    </row>
    <row r="173" spans="1:12" s="28" customFormat="1" ht="14.4" thickTop="1" x14ac:dyDescent="0.25">
      <c r="A173" s="401"/>
      <c r="B173" s="451"/>
      <c r="C173" s="40"/>
      <c r="D173" s="396" t="s">
        <v>208</v>
      </c>
      <c r="E173" s="373"/>
      <c r="F173" s="372"/>
      <c r="G173" s="372"/>
      <c r="H173" s="372"/>
      <c r="I173" s="372"/>
      <c r="J173" s="372"/>
      <c r="K173" s="529"/>
      <c r="L173" s="849">
        <f>AVERAGE(J175/H175*100)</f>
        <v>83.333333333333343</v>
      </c>
    </row>
    <row r="174" spans="1:12" ht="13.8" x14ac:dyDescent="0.25">
      <c r="A174" s="401"/>
      <c r="B174" s="451"/>
      <c r="C174" s="40"/>
      <c r="D174" s="395" t="s">
        <v>656</v>
      </c>
      <c r="E174" s="363"/>
      <c r="F174" s="372"/>
      <c r="G174" s="372"/>
      <c r="H174" s="372"/>
      <c r="I174" s="372"/>
      <c r="J174" s="372"/>
      <c r="K174" s="529"/>
      <c r="L174" s="850"/>
    </row>
    <row r="175" spans="1:12" ht="31.2" x14ac:dyDescent="0.3">
      <c r="A175" s="425"/>
      <c r="B175" s="452"/>
      <c r="C175" s="97"/>
      <c r="D175" s="429" t="s">
        <v>520</v>
      </c>
      <c r="E175" s="426">
        <v>15000</v>
      </c>
      <c r="F175" s="424">
        <f t="shared" ref="F175:K177" si="118">SUM(F176)</f>
        <v>45000</v>
      </c>
      <c r="G175" s="424">
        <f t="shared" si="118"/>
        <v>5972.5263786581718</v>
      </c>
      <c r="H175" s="424">
        <f t="shared" si="118"/>
        <v>6000</v>
      </c>
      <c r="I175" s="424">
        <f t="shared" si="118"/>
        <v>-1000</v>
      </c>
      <c r="J175" s="424">
        <f t="shared" si="118"/>
        <v>5000</v>
      </c>
      <c r="K175" s="530">
        <f t="shared" si="118"/>
        <v>37672.5</v>
      </c>
      <c r="L175" s="851"/>
    </row>
    <row r="176" spans="1:12" s="440" customFormat="1" ht="13.8" x14ac:dyDescent="0.25">
      <c r="A176" s="358" t="s">
        <v>524</v>
      </c>
      <c r="B176" s="447"/>
      <c r="C176" s="377">
        <v>38</v>
      </c>
      <c r="D176" s="365" t="s">
        <v>80</v>
      </c>
      <c r="E176" s="362">
        <v>15000</v>
      </c>
      <c r="F176" s="362">
        <f t="shared" si="118"/>
        <v>45000</v>
      </c>
      <c r="G176" s="362">
        <f t="shared" si="118"/>
        <v>5972.5263786581718</v>
      </c>
      <c r="H176" s="362">
        <f t="shared" si="118"/>
        <v>6000</v>
      </c>
      <c r="I176" s="362">
        <f t="shared" si="118"/>
        <v>-1000</v>
      </c>
      <c r="J176" s="362">
        <f t="shared" si="118"/>
        <v>5000</v>
      </c>
      <c r="K176" s="533">
        <f t="shared" si="118"/>
        <v>37672.5</v>
      </c>
      <c r="L176" s="734">
        <f>AVERAGE(J176/H176*100)</f>
        <v>83.333333333333343</v>
      </c>
    </row>
    <row r="177" spans="1:12" ht="13.8" x14ac:dyDescent="0.25">
      <c r="A177" s="357" t="s">
        <v>524</v>
      </c>
      <c r="B177" s="446"/>
      <c r="C177" s="375">
        <v>381</v>
      </c>
      <c r="D177" s="368" t="s">
        <v>37</v>
      </c>
      <c r="E177" s="363">
        <v>15000</v>
      </c>
      <c r="F177" s="363">
        <f t="shared" si="118"/>
        <v>45000</v>
      </c>
      <c r="G177" s="363">
        <f t="shared" si="118"/>
        <v>5972.5263786581718</v>
      </c>
      <c r="H177" s="363">
        <f t="shared" si="118"/>
        <v>6000</v>
      </c>
      <c r="I177" s="363">
        <f t="shared" si="118"/>
        <v>-1000</v>
      </c>
      <c r="J177" s="363">
        <f t="shared" si="118"/>
        <v>5000</v>
      </c>
      <c r="K177" s="532">
        <f t="shared" si="118"/>
        <v>37672.5</v>
      </c>
      <c r="L177" s="384">
        <f t="shared" ref="L177:L178" si="119">AVERAGE(J177/H177*100)</f>
        <v>83.333333333333343</v>
      </c>
    </row>
    <row r="178" spans="1:12" s="210" customFormat="1" ht="14.4" thickBot="1" x14ac:dyDescent="0.3">
      <c r="A178" s="406" t="s">
        <v>524</v>
      </c>
      <c r="B178" s="448"/>
      <c r="C178" s="407">
        <v>3811</v>
      </c>
      <c r="D178" s="387" t="s">
        <v>483</v>
      </c>
      <c r="E178" s="388">
        <v>15000</v>
      </c>
      <c r="F178" s="388">
        <v>45000</v>
      </c>
      <c r="G178" s="388">
        <f>F178/7.5345</f>
        <v>5972.5263786581718</v>
      </c>
      <c r="H178" s="388">
        <v>6000</v>
      </c>
      <c r="I178" s="388">
        <v>-1000</v>
      </c>
      <c r="J178" s="388">
        <f>SUM(H178+I178)</f>
        <v>5000</v>
      </c>
      <c r="K178" s="534">
        <f>J178*7.5345</f>
        <v>37672.5</v>
      </c>
      <c r="L178" s="384">
        <f t="shared" si="119"/>
        <v>83.333333333333343</v>
      </c>
    </row>
    <row r="179" spans="1:12" s="97" customFormat="1" ht="16.2" thickTop="1" x14ac:dyDescent="0.3">
      <c r="A179" s="401"/>
      <c r="B179" s="451"/>
      <c r="C179" s="40"/>
      <c r="D179" s="396" t="s">
        <v>208</v>
      </c>
      <c r="E179" s="373"/>
      <c r="F179" s="372"/>
      <c r="G179" s="372"/>
      <c r="H179" s="372"/>
      <c r="I179" s="372"/>
      <c r="J179" s="372"/>
      <c r="K179" s="529"/>
      <c r="L179" s="849">
        <f>AVERAGE(J181/H181*100)</f>
        <v>100</v>
      </c>
    </row>
    <row r="180" spans="1:12" s="28" customFormat="1" ht="13.8" x14ac:dyDescent="0.25">
      <c r="A180" s="401"/>
      <c r="B180" s="451"/>
      <c r="C180" s="40"/>
      <c r="D180" s="395" t="s">
        <v>657</v>
      </c>
      <c r="E180" s="363"/>
      <c r="F180" s="529"/>
      <c r="G180" s="529"/>
      <c r="H180" s="372"/>
      <c r="I180" s="372"/>
      <c r="J180" s="372"/>
      <c r="K180" s="529"/>
      <c r="L180" s="850"/>
    </row>
    <row r="181" spans="1:12" ht="31.2" x14ac:dyDescent="0.3">
      <c r="A181" s="425"/>
      <c r="B181" s="452"/>
      <c r="C181" s="97"/>
      <c r="D181" s="429" t="s">
        <v>521</v>
      </c>
      <c r="E181" s="426">
        <v>10000</v>
      </c>
      <c r="F181" s="424">
        <f t="shared" ref="F181:K183" si="120">SUM(F182)</f>
        <v>50000</v>
      </c>
      <c r="G181" s="424">
        <f t="shared" si="120"/>
        <v>6636.1404207313026</v>
      </c>
      <c r="H181" s="424">
        <f t="shared" si="120"/>
        <v>7000</v>
      </c>
      <c r="I181" s="424">
        <f t="shared" si="120"/>
        <v>0</v>
      </c>
      <c r="J181" s="424">
        <f t="shared" si="120"/>
        <v>7000</v>
      </c>
      <c r="K181" s="530">
        <f t="shared" si="120"/>
        <v>52741.5</v>
      </c>
      <c r="L181" s="851"/>
    </row>
    <row r="182" spans="1:12" s="112" customFormat="1" ht="13.8" x14ac:dyDescent="0.25">
      <c r="A182" s="414" t="s">
        <v>525</v>
      </c>
      <c r="B182" s="447"/>
      <c r="C182" s="377">
        <v>37</v>
      </c>
      <c r="D182" s="365" t="s">
        <v>77</v>
      </c>
      <c r="E182" s="362">
        <v>10000</v>
      </c>
      <c r="F182" s="362">
        <f t="shared" si="120"/>
        <v>50000</v>
      </c>
      <c r="G182" s="362">
        <f t="shared" si="120"/>
        <v>6636.1404207313026</v>
      </c>
      <c r="H182" s="362">
        <f t="shared" si="120"/>
        <v>7000</v>
      </c>
      <c r="I182" s="362">
        <f t="shared" si="120"/>
        <v>0</v>
      </c>
      <c r="J182" s="362">
        <f t="shared" si="120"/>
        <v>7000</v>
      </c>
      <c r="K182" s="533">
        <f t="shared" si="120"/>
        <v>52741.5</v>
      </c>
      <c r="L182" s="734">
        <f>AVERAGE(J182/H182*100)</f>
        <v>100</v>
      </c>
    </row>
    <row r="183" spans="1:12" s="440" customFormat="1" ht="13.8" x14ac:dyDescent="0.25">
      <c r="A183" s="357" t="s">
        <v>525</v>
      </c>
      <c r="B183" s="446"/>
      <c r="C183" s="375">
        <v>372</v>
      </c>
      <c r="D183" s="368" t="s">
        <v>77</v>
      </c>
      <c r="E183" s="363">
        <v>10000</v>
      </c>
      <c r="F183" s="363">
        <f t="shared" si="120"/>
        <v>50000</v>
      </c>
      <c r="G183" s="363">
        <f t="shared" si="120"/>
        <v>6636.1404207313026</v>
      </c>
      <c r="H183" s="363">
        <f t="shared" si="120"/>
        <v>7000</v>
      </c>
      <c r="I183" s="363">
        <f t="shared" si="120"/>
        <v>0</v>
      </c>
      <c r="J183" s="363">
        <f t="shared" si="120"/>
        <v>7000</v>
      </c>
      <c r="K183" s="532">
        <f t="shared" si="120"/>
        <v>52741.5</v>
      </c>
      <c r="L183" s="384">
        <f t="shared" ref="L183:L184" si="121">AVERAGE(J183/H183*100)</f>
        <v>100</v>
      </c>
    </row>
    <row r="184" spans="1:12" ht="14.4" thickBot="1" x14ac:dyDescent="0.3">
      <c r="A184" s="357" t="s">
        <v>525</v>
      </c>
      <c r="B184" s="453"/>
      <c r="C184" s="398">
        <v>3722</v>
      </c>
      <c r="D184" s="370" t="s">
        <v>79</v>
      </c>
      <c r="E184" s="361">
        <v>10000</v>
      </c>
      <c r="F184" s="361">
        <v>50000</v>
      </c>
      <c r="G184" s="363">
        <f>F184/7.5345</f>
        <v>6636.1404207313026</v>
      </c>
      <c r="H184" s="363">
        <v>7000</v>
      </c>
      <c r="I184" s="363">
        <v>0</v>
      </c>
      <c r="J184" s="363">
        <f>SUM(H184+I184)</f>
        <v>7000</v>
      </c>
      <c r="K184" s="532">
        <f>J184*7.5345</f>
        <v>52741.5</v>
      </c>
      <c r="L184" s="384">
        <f t="shared" si="121"/>
        <v>100</v>
      </c>
    </row>
    <row r="185" spans="1:12" s="210" customFormat="1" ht="18" thickBot="1" x14ac:dyDescent="0.3">
      <c r="A185" s="876" t="s">
        <v>613</v>
      </c>
      <c r="B185" s="877"/>
      <c r="C185" s="877"/>
      <c r="D185" s="878"/>
      <c r="E185" s="544">
        <v>35000</v>
      </c>
      <c r="F185" s="544">
        <f t="shared" ref="F185:H185" si="122">SUM(F188)</f>
        <v>100000</v>
      </c>
      <c r="G185" s="544">
        <f t="shared" si="122"/>
        <v>13272.280841462605</v>
      </c>
      <c r="H185" s="544">
        <f t="shared" si="122"/>
        <v>14000</v>
      </c>
      <c r="I185" s="544">
        <f t="shared" ref="I185:J185" si="123">SUM(I188)</f>
        <v>6000</v>
      </c>
      <c r="J185" s="544">
        <f t="shared" si="123"/>
        <v>20000</v>
      </c>
      <c r="K185" s="549">
        <f t="shared" ref="K185" si="124">SUM(K188)</f>
        <v>150690</v>
      </c>
      <c r="L185" s="733">
        <f>AVERAGE(J185/H185*100)</f>
        <v>142.85714285714286</v>
      </c>
    </row>
    <row r="186" spans="1:12" s="97" customFormat="1" ht="15.6" x14ac:dyDescent="0.3">
      <c r="A186" s="401"/>
      <c r="B186" s="40"/>
      <c r="C186" s="40"/>
      <c r="D186" s="396" t="s">
        <v>211</v>
      </c>
      <c r="E186" s="373"/>
      <c r="F186" s="372"/>
      <c r="G186" s="372"/>
      <c r="H186" s="372"/>
      <c r="I186" s="372"/>
      <c r="J186" s="372"/>
      <c r="K186" s="529"/>
      <c r="L186" s="861">
        <f>AVERAGE(J188/H188*100)</f>
        <v>142.85714285714286</v>
      </c>
    </row>
    <row r="187" spans="1:12" s="28" customFormat="1" ht="13.8" x14ac:dyDescent="0.25">
      <c r="A187" s="401"/>
      <c r="B187" s="40"/>
      <c r="C187" s="40"/>
      <c r="D187" s="395" t="s">
        <v>658</v>
      </c>
      <c r="E187" s="363"/>
      <c r="F187" s="372"/>
      <c r="G187" s="372"/>
      <c r="H187" s="372"/>
      <c r="I187" s="372"/>
      <c r="J187" s="372"/>
      <c r="K187" s="529"/>
      <c r="L187" s="850"/>
    </row>
    <row r="188" spans="1:12" ht="15.6" x14ac:dyDescent="0.3">
      <c r="A188" s="425"/>
      <c r="B188" s="97"/>
      <c r="C188" s="97"/>
      <c r="D188" s="429" t="s">
        <v>453</v>
      </c>
      <c r="E188" s="426">
        <v>35000</v>
      </c>
      <c r="F188" s="424">
        <f t="shared" ref="F188:K190" si="125">SUM(F189)</f>
        <v>100000</v>
      </c>
      <c r="G188" s="424">
        <f t="shared" si="125"/>
        <v>13272.280841462605</v>
      </c>
      <c r="H188" s="424">
        <f t="shared" si="125"/>
        <v>14000</v>
      </c>
      <c r="I188" s="424">
        <f t="shared" si="125"/>
        <v>6000</v>
      </c>
      <c r="J188" s="424">
        <f t="shared" si="125"/>
        <v>20000</v>
      </c>
      <c r="K188" s="530">
        <f t="shared" si="125"/>
        <v>150690</v>
      </c>
      <c r="L188" s="851"/>
    </row>
    <row r="189" spans="1:12" ht="13.8" x14ac:dyDescent="0.25">
      <c r="A189" s="358" t="s">
        <v>451</v>
      </c>
      <c r="B189" s="364"/>
      <c r="C189" s="354">
        <v>32</v>
      </c>
      <c r="D189" s="365" t="s">
        <v>180</v>
      </c>
      <c r="E189" s="362">
        <v>35000</v>
      </c>
      <c r="F189" s="362">
        <f t="shared" si="125"/>
        <v>100000</v>
      </c>
      <c r="G189" s="362">
        <f t="shared" si="125"/>
        <v>13272.280841462605</v>
      </c>
      <c r="H189" s="362">
        <f t="shared" si="125"/>
        <v>14000</v>
      </c>
      <c r="I189" s="362">
        <f t="shared" si="125"/>
        <v>6000</v>
      </c>
      <c r="J189" s="362">
        <f t="shared" si="125"/>
        <v>20000</v>
      </c>
      <c r="K189" s="533">
        <f t="shared" si="125"/>
        <v>150690</v>
      </c>
      <c r="L189" s="734">
        <f>AVERAGE(J189/H189*100)</f>
        <v>142.85714285714286</v>
      </c>
    </row>
    <row r="190" spans="1:12" ht="13.8" x14ac:dyDescent="0.25">
      <c r="A190" s="355" t="s">
        <v>451</v>
      </c>
      <c r="B190" s="366"/>
      <c r="C190" s="367">
        <v>323</v>
      </c>
      <c r="D190" s="368" t="s">
        <v>56</v>
      </c>
      <c r="E190" s="363">
        <v>35000</v>
      </c>
      <c r="F190" s="363">
        <f t="shared" si="125"/>
        <v>100000</v>
      </c>
      <c r="G190" s="363">
        <f t="shared" si="125"/>
        <v>13272.280841462605</v>
      </c>
      <c r="H190" s="363">
        <f t="shared" si="125"/>
        <v>14000</v>
      </c>
      <c r="I190" s="363">
        <f t="shared" si="125"/>
        <v>6000</v>
      </c>
      <c r="J190" s="363">
        <f t="shared" si="125"/>
        <v>20000</v>
      </c>
      <c r="K190" s="532">
        <f t="shared" si="125"/>
        <v>150690</v>
      </c>
      <c r="L190" s="384">
        <f t="shared" ref="L190:L192" si="126">AVERAGE(J190/H190*100)</f>
        <v>142.85714285714286</v>
      </c>
    </row>
    <row r="191" spans="1:12" s="390" customFormat="1" ht="14.4" thickBot="1" x14ac:dyDescent="0.3">
      <c r="A191" s="355" t="s">
        <v>451</v>
      </c>
      <c r="B191" s="453"/>
      <c r="C191" s="398">
        <v>3234</v>
      </c>
      <c r="D191" s="370" t="s">
        <v>60</v>
      </c>
      <c r="E191" s="361">
        <v>35000</v>
      </c>
      <c r="F191" s="361">
        <v>100000</v>
      </c>
      <c r="G191" s="363">
        <f>F191/7.5345</f>
        <v>13272.280841462605</v>
      </c>
      <c r="H191" s="363">
        <v>14000</v>
      </c>
      <c r="I191" s="363">
        <v>6000</v>
      </c>
      <c r="J191" s="363">
        <f>SUM(H191+I191)</f>
        <v>20000</v>
      </c>
      <c r="K191" s="532">
        <f>J191*7.5345</f>
        <v>150690</v>
      </c>
      <c r="L191" s="384">
        <f t="shared" si="126"/>
        <v>142.85714285714286</v>
      </c>
    </row>
    <row r="192" spans="1:12" s="97" customFormat="1" ht="18.600000000000001" thickTop="1" thickBot="1" x14ac:dyDescent="0.35">
      <c r="A192" s="876" t="s">
        <v>614</v>
      </c>
      <c r="B192" s="877"/>
      <c r="C192" s="877"/>
      <c r="D192" s="878"/>
      <c r="E192" s="544">
        <v>40000</v>
      </c>
      <c r="F192" s="544">
        <f t="shared" ref="F192:H192" si="127">SUM(F195+F201)</f>
        <v>59000</v>
      </c>
      <c r="G192" s="544">
        <f t="shared" si="127"/>
        <v>7830.6456964629369</v>
      </c>
      <c r="H192" s="544">
        <f t="shared" si="127"/>
        <v>15000</v>
      </c>
      <c r="I192" s="544">
        <f t="shared" ref="I192:K192" si="128">SUM(I195+I201)</f>
        <v>5000</v>
      </c>
      <c r="J192" s="544">
        <f t="shared" si="128"/>
        <v>20000</v>
      </c>
      <c r="K192" s="549">
        <f t="shared" si="128"/>
        <v>150690</v>
      </c>
      <c r="L192" s="544">
        <f t="shared" si="126"/>
        <v>133.33333333333331</v>
      </c>
    </row>
    <row r="193" spans="1:12" s="28" customFormat="1" ht="13.8" x14ac:dyDescent="0.25">
      <c r="A193" s="401"/>
      <c r="B193" s="40"/>
      <c r="C193" s="40"/>
      <c r="D193" s="396" t="s">
        <v>178</v>
      </c>
      <c r="E193" s="373"/>
      <c r="F193" s="372"/>
      <c r="G193" s="372"/>
      <c r="H193" s="372"/>
      <c r="I193" s="372"/>
      <c r="J193" s="372"/>
      <c r="K193" s="529"/>
      <c r="L193" s="861">
        <f>AVERAGE(J195/H195*100)</f>
        <v>150</v>
      </c>
    </row>
    <row r="194" spans="1:12" ht="13.8" x14ac:dyDescent="0.25">
      <c r="A194" s="401"/>
      <c r="B194" s="40"/>
      <c r="C194" s="40"/>
      <c r="D194" s="395" t="s">
        <v>651</v>
      </c>
      <c r="E194" s="363"/>
      <c r="F194" s="372"/>
      <c r="G194" s="372"/>
      <c r="H194" s="372"/>
      <c r="I194" s="372"/>
      <c r="J194" s="372"/>
      <c r="K194" s="529"/>
      <c r="L194" s="850"/>
    </row>
    <row r="195" spans="1:12" ht="31.2" x14ac:dyDescent="0.3">
      <c r="A195" s="425"/>
      <c r="B195" s="97"/>
      <c r="C195" s="97"/>
      <c r="D195" s="429" t="s">
        <v>602</v>
      </c>
      <c r="E195" s="426">
        <v>40000</v>
      </c>
      <c r="F195" s="424">
        <f t="shared" ref="F195:K197" si="129">SUM(F196)</f>
        <v>50000</v>
      </c>
      <c r="G195" s="424">
        <f t="shared" si="129"/>
        <v>6636.1404207313026</v>
      </c>
      <c r="H195" s="424">
        <f t="shared" si="129"/>
        <v>10000</v>
      </c>
      <c r="I195" s="424">
        <f t="shared" si="129"/>
        <v>5000</v>
      </c>
      <c r="J195" s="424">
        <f t="shared" si="129"/>
        <v>15000</v>
      </c>
      <c r="K195" s="530">
        <f t="shared" si="129"/>
        <v>113017.5</v>
      </c>
      <c r="L195" s="851"/>
    </row>
    <row r="196" spans="1:12" ht="13.8" x14ac:dyDescent="0.25">
      <c r="A196" s="358" t="s">
        <v>452</v>
      </c>
      <c r="B196" s="364"/>
      <c r="C196" s="354">
        <v>38</v>
      </c>
      <c r="D196" s="365" t="s">
        <v>128</v>
      </c>
      <c r="E196" s="362">
        <v>40000</v>
      </c>
      <c r="F196" s="362">
        <f t="shared" si="129"/>
        <v>50000</v>
      </c>
      <c r="G196" s="362">
        <f t="shared" si="129"/>
        <v>6636.1404207313026</v>
      </c>
      <c r="H196" s="362">
        <f t="shared" si="129"/>
        <v>10000</v>
      </c>
      <c r="I196" s="362">
        <f t="shared" si="129"/>
        <v>5000</v>
      </c>
      <c r="J196" s="362">
        <f t="shared" si="129"/>
        <v>15000</v>
      </c>
      <c r="K196" s="533">
        <f t="shared" si="129"/>
        <v>113017.5</v>
      </c>
      <c r="L196" s="734">
        <f>AVERAGE(J196/H196*100)</f>
        <v>150</v>
      </c>
    </row>
    <row r="197" spans="1:12" s="440" customFormat="1" ht="13.8" x14ac:dyDescent="0.25">
      <c r="A197" s="355" t="s">
        <v>452</v>
      </c>
      <c r="B197" s="366"/>
      <c r="C197" s="367">
        <v>381</v>
      </c>
      <c r="D197" s="368" t="s">
        <v>37</v>
      </c>
      <c r="E197" s="363">
        <v>40000</v>
      </c>
      <c r="F197" s="363">
        <f t="shared" si="129"/>
        <v>50000</v>
      </c>
      <c r="G197" s="363">
        <f t="shared" si="129"/>
        <v>6636.1404207313026</v>
      </c>
      <c r="H197" s="363">
        <f t="shared" si="129"/>
        <v>10000</v>
      </c>
      <c r="I197" s="363">
        <f t="shared" si="129"/>
        <v>5000</v>
      </c>
      <c r="J197" s="363">
        <f t="shared" si="129"/>
        <v>15000</v>
      </c>
      <c r="K197" s="532">
        <f t="shared" si="129"/>
        <v>113017.5</v>
      </c>
      <c r="L197" s="384">
        <f t="shared" ref="L197:L198" si="130">AVERAGE(J197/H197*100)</f>
        <v>150</v>
      </c>
    </row>
    <row r="198" spans="1:12" ht="14.4" thickBot="1" x14ac:dyDescent="0.3">
      <c r="A198" s="404" t="s">
        <v>452</v>
      </c>
      <c r="B198" s="448"/>
      <c r="C198" s="386">
        <v>3811</v>
      </c>
      <c r="D198" s="387" t="s">
        <v>228</v>
      </c>
      <c r="E198" s="388">
        <v>40000</v>
      </c>
      <c r="F198" s="388">
        <v>50000</v>
      </c>
      <c r="G198" s="388">
        <f>F198/7.5345</f>
        <v>6636.1404207313026</v>
      </c>
      <c r="H198" s="388">
        <v>10000</v>
      </c>
      <c r="I198" s="388">
        <v>5000</v>
      </c>
      <c r="J198" s="388">
        <f>SUM(H198+I198)</f>
        <v>15000</v>
      </c>
      <c r="K198" s="534">
        <f>J198*7.5345</f>
        <v>113017.5</v>
      </c>
      <c r="L198" s="384">
        <f t="shared" si="130"/>
        <v>150</v>
      </c>
    </row>
    <row r="199" spans="1:12" s="210" customFormat="1" ht="14.4" thickTop="1" x14ac:dyDescent="0.25">
      <c r="A199" s="401"/>
      <c r="B199" s="40"/>
      <c r="C199" s="40"/>
      <c r="D199" s="396" t="s">
        <v>178</v>
      </c>
      <c r="E199" s="373"/>
      <c r="F199" s="372"/>
      <c r="G199" s="372"/>
      <c r="H199" s="372"/>
      <c r="I199" s="372"/>
      <c r="J199" s="372"/>
      <c r="K199" s="529"/>
      <c r="L199" s="849">
        <f>AVERAGE(J201/H201*100)</f>
        <v>100</v>
      </c>
    </row>
    <row r="200" spans="1:12" s="97" customFormat="1" ht="15.6" x14ac:dyDescent="0.3">
      <c r="A200" s="401"/>
      <c r="B200" s="40"/>
      <c r="C200" s="40"/>
      <c r="D200" s="395" t="s">
        <v>659</v>
      </c>
      <c r="E200" s="363"/>
      <c r="F200" s="372"/>
      <c r="G200" s="372"/>
      <c r="H200" s="372"/>
      <c r="I200" s="372"/>
      <c r="J200" s="372"/>
      <c r="K200" s="529"/>
      <c r="L200" s="850"/>
    </row>
    <row r="201" spans="1:12" s="28" customFormat="1" ht="15.6" x14ac:dyDescent="0.3">
      <c r="A201" s="425"/>
      <c r="B201" s="97"/>
      <c r="C201" s="97"/>
      <c r="D201" s="429" t="s">
        <v>426</v>
      </c>
      <c r="E201" s="426">
        <v>40000</v>
      </c>
      <c r="F201" s="424">
        <f t="shared" ref="F201:K202" si="131">SUM(F202)</f>
        <v>9000</v>
      </c>
      <c r="G201" s="424">
        <f t="shared" si="131"/>
        <v>1194.5052757316344</v>
      </c>
      <c r="H201" s="424">
        <f t="shared" si="131"/>
        <v>5000</v>
      </c>
      <c r="I201" s="424">
        <f t="shared" si="131"/>
        <v>0</v>
      </c>
      <c r="J201" s="424">
        <f t="shared" si="131"/>
        <v>5000</v>
      </c>
      <c r="K201" s="530">
        <f t="shared" si="131"/>
        <v>37672.5</v>
      </c>
      <c r="L201" s="851"/>
    </row>
    <row r="202" spans="1:12" ht="13.8" x14ac:dyDescent="0.25">
      <c r="A202" s="358" t="s">
        <v>526</v>
      </c>
      <c r="B202" s="364"/>
      <c r="C202" s="354">
        <v>32</v>
      </c>
      <c r="D202" s="365" t="s">
        <v>47</v>
      </c>
      <c r="E202" s="362">
        <v>40000</v>
      </c>
      <c r="F202" s="362">
        <f t="shared" si="131"/>
        <v>9000</v>
      </c>
      <c r="G202" s="362">
        <f t="shared" si="131"/>
        <v>1194.5052757316344</v>
      </c>
      <c r="H202" s="362">
        <v>5000</v>
      </c>
      <c r="I202" s="362">
        <f>I203</f>
        <v>0</v>
      </c>
      <c r="J202" s="362">
        <f>J203</f>
        <v>5000</v>
      </c>
      <c r="K202" s="533">
        <f t="shared" si="131"/>
        <v>37672.5</v>
      </c>
      <c r="L202" s="734">
        <f>AVERAGE(J202/H202*100)</f>
        <v>100</v>
      </c>
    </row>
    <row r="203" spans="1:12" ht="13.8" x14ac:dyDescent="0.25">
      <c r="A203" s="355" t="s">
        <v>526</v>
      </c>
      <c r="B203" s="366"/>
      <c r="C203" s="367">
        <v>323</v>
      </c>
      <c r="D203" s="368" t="s">
        <v>56</v>
      </c>
      <c r="E203" s="363">
        <v>40000</v>
      </c>
      <c r="F203" s="363">
        <f t="shared" ref="F203:K203" si="132">SUM(F204:F204)</f>
        <v>9000</v>
      </c>
      <c r="G203" s="363">
        <f t="shared" si="132"/>
        <v>1194.5052757316344</v>
      </c>
      <c r="H203" s="363">
        <f t="shared" si="132"/>
        <v>5000</v>
      </c>
      <c r="I203" s="363">
        <f t="shared" si="132"/>
        <v>0</v>
      </c>
      <c r="J203" s="363">
        <f t="shared" si="132"/>
        <v>5000</v>
      </c>
      <c r="K203" s="532">
        <f t="shared" si="132"/>
        <v>37672.5</v>
      </c>
      <c r="L203" s="384">
        <f t="shared" ref="L203:L205" si="133">AVERAGE(J203/H203*100)</f>
        <v>100</v>
      </c>
    </row>
    <row r="204" spans="1:12" s="28" customFormat="1" ht="14.4" thickBot="1" x14ac:dyDescent="0.3">
      <c r="A204" s="355" t="s">
        <v>526</v>
      </c>
      <c r="B204" s="446"/>
      <c r="C204" s="367">
        <v>3236</v>
      </c>
      <c r="D204" s="368" t="s">
        <v>61</v>
      </c>
      <c r="E204" s="363">
        <v>40000</v>
      </c>
      <c r="F204" s="363">
        <v>9000</v>
      </c>
      <c r="G204" s="363">
        <f>F204/7.5345</f>
        <v>1194.5052757316344</v>
      </c>
      <c r="H204" s="363">
        <v>5000</v>
      </c>
      <c r="I204" s="363">
        <v>0</v>
      </c>
      <c r="J204" s="363">
        <f>SUM(H204+I204)</f>
        <v>5000</v>
      </c>
      <c r="K204" s="532">
        <f>J204*7.5345</f>
        <v>37672.5</v>
      </c>
      <c r="L204" s="384">
        <f t="shared" si="133"/>
        <v>100</v>
      </c>
    </row>
    <row r="205" spans="1:12" ht="18" thickBot="1" x14ac:dyDescent="0.3">
      <c r="A205" s="876" t="s">
        <v>615</v>
      </c>
      <c r="B205" s="877"/>
      <c r="C205" s="877"/>
      <c r="D205" s="878"/>
      <c r="E205" s="544">
        <f t="shared" ref="E205:K205" si="134">SUM(E208+E214+E220+E226+E233)</f>
        <v>120000</v>
      </c>
      <c r="F205" s="544" t="e">
        <f t="shared" si="134"/>
        <v>#REF!</v>
      </c>
      <c r="G205" s="544" t="e">
        <f t="shared" si="134"/>
        <v>#REF!</v>
      </c>
      <c r="H205" s="544">
        <f t="shared" si="134"/>
        <v>41950</v>
      </c>
      <c r="I205" s="544">
        <f t="shared" si="134"/>
        <v>0</v>
      </c>
      <c r="J205" s="544">
        <f t="shared" si="134"/>
        <v>41950</v>
      </c>
      <c r="K205" s="549" t="e">
        <f t="shared" si="134"/>
        <v>#REF!</v>
      </c>
      <c r="L205" s="544">
        <f t="shared" si="133"/>
        <v>100</v>
      </c>
    </row>
    <row r="206" spans="1:12" ht="13.8" x14ac:dyDescent="0.25">
      <c r="A206" s="401"/>
      <c r="B206" s="40"/>
      <c r="C206" s="40"/>
      <c r="D206" s="396" t="s">
        <v>214</v>
      </c>
      <c r="E206" s="373"/>
      <c r="F206" s="372"/>
      <c r="G206" s="372"/>
      <c r="H206" s="372"/>
      <c r="I206" s="372"/>
      <c r="J206" s="372"/>
      <c r="K206" s="529"/>
      <c r="L206" s="383"/>
    </row>
    <row r="207" spans="1:12" s="390" customFormat="1" ht="14.4" thickBot="1" x14ac:dyDescent="0.3">
      <c r="A207" s="401"/>
      <c r="B207" s="40"/>
      <c r="C207" s="40"/>
      <c r="D207" s="395" t="s">
        <v>660</v>
      </c>
      <c r="E207" s="363"/>
      <c r="F207" s="372"/>
      <c r="G207" s="372"/>
      <c r="H207" s="372"/>
      <c r="I207" s="372"/>
      <c r="J207" s="372"/>
      <c r="K207" s="529"/>
      <c r="L207" s="383"/>
    </row>
    <row r="208" spans="1:12" s="538" customFormat="1" ht="16.2" thickTop="1" x14ac:dyDescent="0.3">
      <c r="A208" s="425"/>
      <c r="B208" s="97"/>
      <c r="C208" s="97"/>
      <c r="D208" s="429" t="s">
        <v>427</v>
      </c>
      <c r="E208" s="426">
        <v>50000</v>
      </c>
      <c r="F208" s="424" t="e">
        <f>SUM(#REF!+F209)</f>
        <v>#REF!</v>
      </c>
      <c r="G208" s="424" t="e">
        <f>SUM(#REF!+G209)</f>
        <v>#REF!</v>
      </c>
      <c r="H208" s="424">
        <f>SUM(H209)</f>
        <v>27500</v>
      </c>
      <c r="I208" s="424">
        <f t="shared" ref="I208:J208" si="135">SUM(I209)</f>
        <v>0</v>
      </c>
      <c r="J208" s="424">
        <f t="shared" si="135"/>
        <v>27500</v>
      </c>
      <c r="K208" s="530" t="e">
        <f>SUM(#REF!+K209)</f>
        <v>#REF!</v>
      </c>
      <c r="L208" s="734">
        <f>AVERAGE(J208/H208*100)</f>
        <v>100</v>
      </c>
    </row>
    <row r="209" spans="1:12" s="540" customFormat="1" ht="13.8" x14ac:dyDescent="0.25">
      <c r="A209" s="414" t="s">
        <v>454</v>
      </c>
      <c r="B209" s="443"/>
      <c r="C209" s="354">
        <v>38</v>
      </c>
      <c r="D209" s="365" t="s">
        <v>80</v>
      </c>
      <c r="E209" s="362">
        <v>70000</v>
      </c>
      <c r="F209" s="362">
        <f t="shared" ref="F209:K210" si="136">SUM(F210)</f>
        <v>140000</v>
      </c>
      <c r="G209" s="362">
        <f t="shared" si="136"/>
        <v>18581.193178047648</v>
      </c>
      <c r="H209" s="362">
        <f t="shared" si="136"/>
        <v>27500</v>
      </c>
      <c r="I209" s="362">
        <f t="shared" si="136"/>
        <v>0</v>
      </c>
      <c r="J209" s="362">
        <f t="shared" si="136"/>
        <v>27500</v>
      </c>
      <c r="K209" s="533">
        <f t="shared" si="136"/>
        <v>207198.75</v>
      </c>
      <c r="L209" s="734">
        <f t="shared" ref="L209:L217" si="137">AVERAGE(J209/H209*100)</f>
        <v>100</v>
      </c>
    </row>
    <row r="210" spans="1:12" s="540" customFormat="1" ht="13.8" x14ac:dyDescent="0.25">
      <c r="A210" s="357" t="s">
        <v>454</v>
      </c>
      <c r="B210" s="442"/>
      <c r="C210" s="367">
        <v>381</v>
      </c>
      <c r="D210" s="368" t="s">
        <v>37</v>
      </c>
      <c r="E210" s="363">
        <v>50000</v>
      </c>
      <c r="F210" s="363">
        <f t="shared" si="136"/>
        <v>140000</v>
      </c>
      <c r="G210" s="363">
        <f t="shared" si="136"/>
        <v>18581.193178047648</v>
      </c>
      <c r="H210" s="363">
        <f t="shared" si="136"/>
        <v>27500</v>
      </c>
      <c r="I210" s="363">
        <f t="shared" si="136"/>
        <v>0</v>
      </c>
      <c r="J210" s="363">
        <f t="shared" si="136"/>
        <v>27500</v>
      </c>
      <c r="K210" s="532">
        <f t="shared" si="136"/>
        <v>207198.75</v>
      </c>
      <c r="L210" s="384">
        <f t="shared" si="137"/>
        <v>100</v>
      </c>
    </row>
    <row r="211" spans="1:12" s="97" customFormat="1" ht="16.2" thickBot="1" x14ac:dyDescent="0.35">
      <c r="A211" s="406" t="s">
        <v>454</v>
      </c>
      <c r="B211" s="444"/>
      <c r="C211" s="386">
        <v>3811</v>
      </c>
      <c r="D211" s="387" t="s">
        <v>415</v>
      </c>
      <c r="E211" s="388">
        <v>50000</v>
      </c>
      <c r="F211" s="388">
        <v>140000</v>
      </c>
      <c r="G211" s="388">
        <f>F211/7.5345</f>
        <v>18581.193178047648</v>
      </c>
      <c r="H211" s="388">
        <v>27500</v>
      </c>
      <c r="I211" s="388">
        <v>0</v>
      </c>
      <c r="J211" s="388">
        <f>SUM(H211+I211)</f>
        <v>27500</v>
      </c>
      <c r="K211" s="534">
        <f>J211*7.5345</f>
        <v>207198.75</v>
      </c>
      <c r="L211" s="388">
        <f t="shared" si="137"/>
        <v>100</v>
      </c>
    </row>
    <row r="212" spans="1:12" s="28" customFormat="1" ht="14.4" thickTop="1" x14ac:dyDescent="0.25">
      <c r="A212" s="652"/>
      <c r="B212" s="653"/>
      <c r="C212" s="654"/>
      <c r="D212" s="644" t="s">
        <v>214</v>
      </c>
      <c r="E212" s="655"/>
      <c r="F212" s="617"/>
      <c r="G212" s="617"/>
      <c r="H212" s="617"/>
      <c r="I212" s="617"/>
      <c r="J212" s="617"/>
      <c r="K212" s="645"/>
      <c r="L212" s="617"/>
    </row>
    <row r="213" spans="1:12" ht="13.8" x14ac:dyDescent="0.25">
      <c r="A213" s="652"/>
      <c r="B213" s="653"/>
      <c r="C213" s="654"/>
      <c r="D213" s="644" t="s">
        <v>661</v>
      </c>
      <c r="E213" s="615"/>
      <c r="F213" s="617"/>
      <c r="G213" s="617"/>
      <c r="H213" s="617"/>
      <c r="I213" s="617"/>
      <c r="J213" s="617"/>
      <c r="K213" s="645"/>
      <c r="L213" s="617"/>
    </row>
    <row r="214" spans="1:12" ht="15.6" x14ac:dyDescent="0.3">
      <c r="A214" s="656"/>
      <c r="B214" s="657"/>
      <c r="C214" s="658"/>
      <c r="D214" s="659" t="s">
        <v>428</v>
      </c>
      <c r="E214" s="624">
        <v>0</v>
      </c>
      <c r="F214" s="602">
        <f t="shared" ref="F214:K216" si="138">SUM(F215)</f>
        <v>0</v>
      </c>
      <c r="G214" s="602">
        <f t="shared" si="138"/>
        <v>0</v>
      </c>
      <c r="H214" s="602">
        <f t="shared" si="138"/>
        <v>2500</v>
      </c>
      <c r="I214" s="602">
        <f t="shared" si="138"/>
        <v>0</v>
      </c>
      <c r="J214" s="602">
        <f t="shared" si="138"/>
        <v>2500</v>
      </c>
      <c r="K214" s="660">
        <f t="shared" si="138"/>
        <v>18836.25</v>
      </c>
      <c r="L214" s="734">
        <f t="shared" si="137"/>
        <v>100</v>
      </c>
    </row>
    <row r="215" spans="1:12" ht="13.8" x14ac:dyDescent="0.25">
      <c r="A215" s="648" t="s">
        <v>455</v>
      </c>
      <c r="B215" s="661"/>
      <c r="C215" s="627">
        <v>42</v>
      </c>
      <c r="D215" s="628" t="s">
        <v>96</v>
      </c>
      <c r="E215" s="629">
        <v>0</v>
      </c>
      <c r="F215" s="629">
        <f t="shared" si="138"/>
        <v>0</v>
      </c>
      <c r="G215" s="629">
        <f t="shared" si="138"/>
        <v>0</v>
      </c>
      <c r="H215" s="629">
        <f t="shared" si="138"/>
        <v>2500</v>
      </c>
      <c r="I215" s="629">
        <f t="shared" si="138"/>
        <v>0</v>
      </c>
      <c r="J215" s="629">
        <f t="shared" si="138"/>
        <v>2500</v>
      </c>
      <c r="K215" s="630">
        <f t="shared" si="138"/>
        <v>18836.25</v>
      </c>
      <c r="L215" s="734">
        <f t="shared" si="137"/>
        <v>100</v>
      </c>
    </row>
    <row r="216" spans="1:12" s="390" customFormat="1" ht="14.4" thickBot="1" x14ac:dyDescent="0.3">
      <c r="A216" s="651" t="s">
        <v>455</v>
      </c>
      <c r="B216" s="662"/>
      <c r="C216" s="632">
        <v>426</v>
      </c>
      <c r="D216" s="621" t="s">
        <v>117</v>
      </c>
      <c r="E216" s="615">
        <v>0</v>
      </c>
      <c r="F216" s="615">
        <f t="shared" si="138"/>
        <v>0</v>
      </c>
      <c r="G216" s="615">
        <f t="shared" si="138"/>
        <v>0</v>
      </c>
      <c r="H216" s="615">
        <f t="shared" si="138"/>
        <v>2500</v>
      </c>
      <c r="I216" s="615">
        <f t="shared" si="138"/>
        <v>0</v>
      </c>
      <c r="J216" s="615">
        <f t="shared" si="138"/>
        <v>2500</v>
      </c>
      <c r="K216" s="622">
        <f t="shared" si="138"/>
        <v>18836.25</v>
      </c>
      <c r="L216" s="384">
        <f t="shared" si="137"/>
        <v>100</v>
      </c>
    </row>
    <row r="217" spans="1:12" s="97" customFormat="1" ht="16.8" thickTop="1" thickBot="1" x14ac:dyDescent="0.35">
      <c r="A217" s="663" t="s">
        <v>455</v>
      </c>
      <c r="B217" s="639"/>
      <c r="C217" s="664">
        <v>4264</v>
      </c>
      <c r="D217" s="641" t="s">
        <v>404</v>
      </c>
      <c r="E217" s="642">
        <v>0</v>
      </c>
      <c r="F217" s="642">
        <v>0</v>
      </c>
      <c r="G217" s="642">
        <f>F217/7.5345</f>
        <v>0</v>
      </c>
      <c r="H217" s="642">
        <v>2500</v>
      </c>
      <c r="I217" s="642">
        <v>0</v>
      </c>
      <c r="J217" s="642">
        <f>SUM(H217+I217)</f>
        <v>2500</v>
      </c>
      <c r="K217" s="643">
        <f>J217*7.5345</f>
        <v>18836.25</v>
      </c>
      <c r="L217" s="642">
        <f t="shared" si="137"/>
        <v>100</v>
      </c>
    </row>
    <row r="218" spans="1:12" s="211" customFormat="1" ht="14.4" thickTop="1" x14ac:dyDescent="0.25">
      <c r="A218" s="401"/>
      <c r="B218" s="449"/>
      <c r="C218" s="40"/>
      <c r="D218" s="396" t="s">
        <v>214</v>
      </c>
      <c r="E218" s="373"/>
      <c r="F218" s="372"/>
      <c r="G218" s="372"/>
      <c r="H218" s="372"/>
      <c r="I218" s="372"/>
      <c r="J218" s="372"/>
      <c r="K218" s="529"/>
      <c r="L218" s="382"/>
    </row>
    <row r="219" spans="1:12" ht="13.8" x14ac:dyDescent="0.25">
      <c r="A219" s="401"/>
      <c r="B219" s="449"/>
      <c r="C219" s="40"/>
      <c r="D219" s="396" t="s">
        <v>651</v>
      </c>
      <c r="E219" s="363"/>
      <c r="F219" s="372"/>
      <c r="G219" s="372"/>
      <c r="H219" s="372"/>
      <c r="I219" s="372"/>
      <c r="J219" s="372"/>
      <c r="K219" s="529"/>
      <c r="L219" s="382"/>
    </row>
    <row r="220" spans="1:12" ht="15.6" x14ac:dyDescent="0.3">
      <c r="A220" s="425"/>
      <c r="B220" s="450"/>
      <c r="C220" s="97"/>
      <c r="D220" s="429" t="s">
        <v>624</v>
      </c>
      <c r="E220" s="426">
        <v>5000</v>
      </c>
      <c r="F220" s="424">
        <f t="shared" ref="F220:K222" si="139">SUM(F221)</f>
        <v>5000</v>
      </c>
      <c r="G220" s="424">
        <f t="shared" si="139"/>
        <v>663.61404207313024</v>
      </c>
      <c r="H220" s="424">
        <f t="shared" si="139"/>
        <v>700</v>
      </c>
      <c r="I220" s="424">
        <f t="shared" si="139"/>
        <v>0</v>
      </c>
      <c r="J220" s="424">
        <f t="shared" si="139"/>
        <v>700</v>
      </c>
      <c r="K220" s="530">
        <f t="shared" si="139"/>
        <v>5274.1500000000005</v>
      </c>
      <c r="L220" s="734">
        <f>AVERAGE(J220/H220*100)</f>
        <v>100</v>
      </c>
    </row>
    <row r="221" spans="1:12" ht="13.8" x14ac:dyDescent="0.25">
      <c r="A221" s="414" t="s">
        <v>455</v>
      </c>
      <c r="B221" s="447"/>
      <c r="C221" s="377">
        <v>38</v>
      </c>
      <c r="D221" s="365" t="s">
        <v>80</v>
      </c>
      <c r="E221" s="362">
        <v>5000</v>
      </c>
      <c r="F221" s="362">
        <f t="shared" si="139"/>
        <v>5000</v>
      </c>
      <c r="G221" s="362">
        <f t="shared" si="139"/>
        <v>663.61404207313024</v>
      </c>
      <c r="H221" s="362">
        <f t="shared" si="139"/>
        <v>700</v>
      </c>
      <c r="I221" s="362">
        <f t="shared" si="139"/>
        <v>0</v>
      </c>
      <c r="J221" s="362">
        <f t="shared" si="139"/>
        <v>700</v>
      </c>
      <c r="K221" s="533">
        <f t="shared" si="139"/>
        <v>5274.1500000000005</v>
      </c>
      <c r="L221" s="734">
        <f t="shared" ref="L221:L223" si="140">AVERAGE(J221/H221*100)</f>
        <v>100</v>
      </c>
    </row>
    <row r="222" spans="1:12" s="390" customFormat="1" ht="14.4" thickBot="1" x14ac:dyDescent="0.3">
      <c r="A222" s="357" t="s">
        <v>455</v>
      </c>
      <c r="B222" s="446"/>
      <c r="C222" s="375">
        <v>381</v>
      </c>
      <c r="D222" s="368" t="s">
        <v>37</v>
      </c>
      <c r="E222" s="363">
        <v>5000</v>
      </c>
      <c r="F222" s="363">
        <f t="shared" si="139"/>
        <v>5000</v>
      </c>
      <c r="G222" s="363">
        <f t="shared" si="139"/>
        <v>663.61404207313024</v>
      </c>
      <c r="H222" s="363">
        <f t="shared" si="139"/>
        <v>700</v>
      </c>
      <c r="I222" s="363">
        <f t="shared" si="139"/>
        <v>0</v>
      </c>
      <c r="J222" s="363">
        <f t="shared" si="139"/>
        <v>700</v>
      </c>
      <c r="K222" s="532">
        <f t="shared" si="139"/>
        <v>5274.1500000000005</v>
      </c>
      <c r="L222" s="384">
        <f t="shared" si="140"/>
        <v>100</v>
      </c>
    </row>
    <row r="223" spans="1:12" s="97" customFormat="1" ht="16.8" thickTop="1" thickBot="1" x14ac:dyDescent="0.35">
      <c r="A223" s="406" t="s">
        <v>455</v>
      </c>
      <c r="B223" s="448"/>
      <c r="C223" s="407">
        <v>3811</v>
      </c>
      <c r="D223" s="387" t="s">
        <v>85</v>
      </c>
      <c r="E223" s="388">
        <v>5000</v>
      </c>
      <c r="F223" s="388">
        <v>5000</v>
      </c>
      <c r="G223" s="388">
        <f>F223/7.5345</f>
        <v>663.61404207313024</v>
      </c>
      <c r="H223" s="388">
        <v>700</v>
      </c>
      <c r="I223" s="388">
        <v>0</v>
      </c>
      <c r="J223" s="388">
        <f>SUM(H223+I223)</f>
        <v>700</v>
      </c>
      <c r="K223" s="534">
        <f>J223*7.5345</f>
        <v>5274.1500000000005</v>
      </c>
      <c r="L223" s="384">
        <f t="shared" si="140"/>
        <v>100</v>
      </c>
    </row>
    <row r="224" spans="1:12" s="97" customFormat="1" ht="16.2" thickTop="1" x14ac:dyDescent="0.3">
      <c r="A224" s="652"/>
      <c r="B224" s="653"/>
      <c r="C224" s="654"/>
      <c r="D224" s="644" t="s">
        <v>214</v>
      </c>
      <c r="E224" s="655"/>
      <c r="F224" s="617"/>
      <c r="G224" s="617"/>
      <c r="H224" s="617"/>
      <c r="I224" s="617"/>
      <c r="J224" s="617"/>
      <c r="K224" s="645"/>
      <c r="L224" s="846">
        <f>AVERAGE(J226/H226*100)</f>
        <v>100</v>
      </c>
    </row>
    <row r="225" spans="1:12" s="28" customFormat="1" ht="13.8" x14ac:dyDescent="0.25">
      <c r="A225" s="652"/>
      <c r="B225" s="653"/>
      <c r="C225" s="654"/>
      <c r="D225" s="665" t="s">
        <v>651</v>
      </c>
      <c r="E225" s="615"/>
      <c r="F225" s="617"/>
      <c r="G225" s="617"/>
      <c r="H225" s="617"/>
      <c r="I225" s="617"/>
      <c r="J225" s="617"/>
      <c r="K225" s="645"/>
      <c r="L225" s="847"/>
    </row>
    <row r="226" spans="1:12" ht="15.6" x14ac:dyDescent="0.3">
      <c r="A226" s="656"/>
      <c r="B226" s="657"/>
      <c r="C226" s="658"/>
      <c r="D226" s="666" t="s">
        <v>625</v>
      </c>
      <c r="E226" s="624">
        <v>20000</v>
      </c>
      <c r="F226" s="602">
        <f t="shared" ref="F226:K228" si="141">SUM(F227)</f>
        <v>20000</v>
      </c>
      <c r="G226" s="602">
        <f t="shared" si="141"/>
        <v>2654.4561682925209</v>
      </c>
      <c r="H226" s="602">
        <f t="shared" si="141"/>
        <v>5000</v>
      </c>
      <c r="I226" s="602">
        <f t="shared" si="141"/>
        <v>0</v>
      </c>
      <c r="J226" s="602">
        <f t="shared" si="141"/>
        <v>5000</v>
      </c>
      <c r="K226" s="660">
        <f t="shared" si="141"/>
        <v>37672.5</v>
      </c>
      <c r="L226" s="848"/>
    </row>
    <row r="227" spans="1:12" ht="13.8" x14ac:dyDescent="0.25">
      <c r="A227" s="648" t="s">
        <v>527</v>
      </c>
      <c r="B227" s="626"/>
      <c r="C227" s="627">
        <v>32</v>
      </c>
      <c r="D227" s="628" t="s">
        <v>180</v>
      </c>
      <c r="E227" s="629">
        <v>20000</v>
      </c>
      <c r="F227" s="629">
        <f t="shared" si="141"/>
        <v>20000</v>
      </c>
      <c r="G227" s="629">
        <f t="shared" si="141"/>
        <v>2654.4561682925209</v>
      </c>
      <c r="H227" s="629">
        <f t="shared" si="141"/>
        <v>5000</v>
      </c>
      <c r="I227" s="629">
        <f t="shared" si="141"/>
        <v>0</v>
      </c>
      <c r="J227" s="629">
        <f t="shared" si="141"/>
        <v>5000</v>
      </c>
      <c r="K227" s="630">
        <f t="shared" si="141"/>
        <v>37672.5</v>
      </c>
      <c r="L227" s="735">
        <f>AVERAGE(J227/H227*100)</f>
        <v>100</v>
      </c>
    </row>
    <row r="228" spans="1:12" ht="13.8" x14ac:dyDescent="0.25">
      <c r="A228" s="651" t="s">
        <v>527</v>
      </c>
      <c r="B228" s="631"/>
      <c r="C228" s="632">
        <v>322</v>
      </c>
      <c r="D228" s="621" t="s">
        <v>52</v>
      </c>
      <c r="E228" s="615">
        <v>20000</v>
      </c>
      <c r="F228" s="615">
        <f t="shared" si="141"/>
        <v>20000</v>
      </c>
      <c r="G228" s="615">
        <f t="shared" si="141"/>
        <v>2654.4561682925209</v>
      </c>
      <c r="H228" s="615">
        <f t="shared" si="141"/>
        <v>5000</v>
      </c>
      <c r="I228" s="615">
        <f t="shared" si="141"/>
        <v>0</v>
      </c>
      <c r="J228" s="615">
        <f t="shared" si="141"/>
        <v>5000</v>
      </c>
      <c r="K228" s="622">
        <f t="shared" si="141"/>
        <v>37672.5</v>
      </c>
      <c r="L228" s="650">
        <f t="shared" ref="L228:L229" si="142">AVERAGE(J228/H228*100)</f>
        <v>100</v>
      </c>
    </row>
    <row r="229" spans="1:12" s="440" customFormat="1" ht="14.4" thickBot="1" x14ac:dyDescent="0.3">
      <c r="A229" s="663" t="s">
        <v>527</v>
      </c>
      <c r="B229" s="639"/>
      <c r="C229" s="640">
        <v>3227</v>
      </c>
      <c r="D229" s="641" t="s">
        <v>405</v>
      </c>
      <c r="E229" s="642">
        <v>20000</v>
      </c>
      <c r="F229" s="642">
        <v>20000</v>
      </c>
      <c r="G229" s="642">
        <f>F229/7.5345</f>
        <v>2654.4561682925209</v>
      </c>
      <c r="H229" s="642">
        <v>5000</v>
      </c>
      <c r="I229" s="642">
        <v>0</v>
      </c>
      <c r="J229" s="642">
        <f>SUM(H229+I229)</f>
        <v>5000</v>
      </c>
      <c r="K229" s="643">
        <f>J229*7.5345</f>
        <v>37672.5</v>
      </c>
      <c r="L229" s="650">
        <f t="shared" si="142"/>
        <v>100</v>
      </c>
    </row>
    <row r="230" spans="1:12" ht="14.4" thickTop="1" x14ac:dyDescent="0.25">
      <c r="A230" s="652"/>
      <c r="B230" s="653"/>
      <c r="C230" s="654"/>
      <c r="D230" s="644" t="s">
        <v>214</v>
      </c>
      <c r="E230" s="655"/>
      <c r="F230" s="617"/>
      <c r="G230" s="617"/>
      <c r="H230" s="617"/>
      <c r="I230" s="617"/>
      <c r="J230" s="617"/>
      <c r="K230" s="645"/>
      <c r="L230" s="646"/>
    </row>
    <row r="231" spans="1:12" s="542" customFormat="1" ht="13.8" x14ac:dyDescent="0.25">
      <c r="A231" s="652"/>
      <c r="B231" s="653"/>
      <c r="C231" s="654"/>
      <c r="D231" s="665" t="s">
        <v>651</v>
      </c>
      <c r="E231" s="615"/>
      <c r="F231" s="617"/>
      <c r="G231" s="617"/>
      <c r="H231" s="617"/>
      <c r="I231" s="617"/>
      <c r="J231" s="617"/>
      <c r="K231" s="645"/>
      <c r="L231" s="646"/>
    </row>
    <row r="232" spans="1:12" s="538" customFormat="1" ht="15.6" x14ac:dyDescent="0.3">
      <c r="A232" s="656"/>
      <c r="B232" s="657"/>
      <c r="C232" s="658"/>
      <c r="D232" s="882" t="s">
        <v>626</v>
      </c>
      <c r="E232" s="624"/>
      <c r="F232" s="669"/>
      <c r="G232" s="669"/>
      <c r="H232" s="669"/>
      <c r="I232" s="669"/>
      <c r="J232" s="669"/>
      <c r="K232" s="670"/>
      <c r="L232" s="671"/>
    </row>
    <row r="233" spans="1:12" s="539" customFormat="1" ht="15.6" x14ac:dyDescent="0.3">
      <c r="A233" s="656"/>
      <c r="B233" s="657"/>
      <c r="C233" s="658"/>
      <c r="D233" s="883"/>
      <c r="E233" s="624">
        <v>45000</v>
      </c>
      <c r="F233" s="602">
        <f t="shared" ref="F233:K234" si="143">SUM(F234)</f>
        <v>25000</v>
      </c>
      <c r="G233" s="602">
        <f t="shared" si="143"/>
        <v>3318.0702103656513</v>
      </c>
      <c r="H233" s="602">
        <f t="shared" si="143"/>
        <v>6250</v>
      </c>
      <c r="I233" s="602">
        <f t="shared" si="143"/>
        <v>0</v>
      </c>
      <c r="J233" s="602">
        <f t="shared" si="143"/>
        <v>6250</v>
      </c>
      <c r="K233" s="660">
        <f t="shared" si="143"/>
        <v>47090.625</v>
      </c>
      <c r="L233" s="735">
        <f>AVERAGE(J233/H233*100)</f>
        <v>100</v>
      </c>
    </row>
    <row r="234" spans="1:12" s="540" customFormat="1" ht="13.8" x14ac:dyDescent="0.25">
      <c r="A234" s="648" t="s">
        <v>528</v>
      </c>
      <c r="B234" s="626"/>
      <c r="C234" s="627">
        <v>32</v>
      </c>
      <c r="D234" s="628" t="s">
        <v>180</v>
      </c>
      <c r="E234" s="629">
        <v>45000</v>
      </c>
      <c r="F234" s="629">
        <f t="shared" si="143"/>
        <v>25000</v>
      </c>
      <c r="G234" s="629">
        <f t="shared" si="143"/>
        <v>3318.0702103656513</v>
      </c>
      <c r="H234" s="629">
        <f t="shared" si="143"/>
        <v>6250</v>
      </c>
      <c r="I234" s="629">
        <f t="shared" si="143"/>
        <v>0</v>
      </c>
      <c r="J234" s="629">
        <f t="shared" si="143"/>
        <v>6250</v>
      </c>
      <c r="K234" s="630">
        <f t="shared" si="143"/>
        <v>47090.625</v>
      </c>
      <c r="L234" s="735">
        <f>AVERAGE(J234/H234*100)</f>
        <v>100</v>
      </c>
    </row>
    <row r="235" spans="1:12" s="540" customFormat="1" ht="13.8" x14ac:dyDescent="0.25">
      <c r="A235" s="651" t="s">
        <v>528</v>
      </c>
      <c r="B235" s="631"/>
      <c r="C235" s="632">
        <v>323</v>
      </c>
      <c r="D235" s="621" t="s">
        <v>117</v>
      </c>
      <c r="E235" s="615">
        <v>45000</v>
      </c>
      <c r="F235" s="615">
        <f t="shared" ref="F235:G235" si="144">SUM(F236:F237)</f>
        <v>25000</v>
      </c>
      <c r="G235" s="615">
        <f t="shared" si="144"/>
        <v>3318.0702103656513</v>
      </c>
      <c r="H235" s="615">
        <f>SUM(H236+H237)</f>
        <v>6250</v>
      </c>
      <c r="I235" s="615">
        <f t="shared" ref="I235:J235" si="145">SUM(I236+I237)</f>
        <v>0</v>
      </c>
      <c r="J235" s="615">
        <f t="shared" si="145"/>
        <v>6250</v>
      </c>
      <c r="K235" s="622">
        <f t="shared" ref="K235" si="146">SUM(K236:K237)</f>
        <v>47090.625</v>
      </c>
      <c r="L235" s="650">
        <f t="shared" ref="L235:L238" si="147">AVERAGE(J235/H235*100)</f>
        <v>100</v>
      </c>
    </row>
    <row r="236" spans="1:12" s="541" customFormat="1" ht="13.8" x14ac:dyDescent="0.25">
      <c r="A236" s="651" t="s">
        <v>528</v>
      </c>
      <c r="B236" s="631"/>
      <c r="C236" s="632">
        <v>3237</v>
      </c>
      <c r="D236" s="621" t="s">
        <v>505</v>
      </c>
      <c r="E236" s="615">
        <v>15000</v>
      </c>
      <c r="F236" s="615">
        <v>15000</v>
      </c>
      <c r="G236" s="615">
        <f>F236/7.5345</f>
        <v>1990.8421262193906</v>
      </c>
      <c r="H236" s="615">
        <v>2500</v>
      </c>
      <c r="I236" s="615">
        <v>0</v>
      </c>
      <c r="J236" s="615">
        <f>SUM(H236+I236)</f>
        <v>2500</v>
      </c>
      <c r="K236" s="622">
        <f>J236*7.5345</f>
        <v>18836.25</v>
      </c>
      <c r="L236" s="650">
        <f t="shared" si="147"/>
        <v>100</v>
      </c>
    </row>
    <row r="237" spans="1:12" s="540" customFormat="1" ht="14.4" thickBot="1" x14ac:dyDescent="0.3">
      <c r="A237" s="651" t="s">
        <v>528</v>
      </c>
      <c r="B237" s="634"/>
      <c r="C237" s="635">
        <v>3237</v>
      </c>
      <c r="D237" s="636" t="s">
        <v>62</v>
      </c>
      <c r="E237" s="637">
        <v>30000</v>
      </c>
      <c r="F237" s="637">
        <v>10000</v>
      </c>
      <c r="G237" s="615">
        <f>F237/7.5345</f>
        <v>1327.2280841462605</v>
      </c>
      <c r="H237" s="615">
        <v>3750</v>
      </c>
      <c r="I237" s="615">
        <v>0</v>
      </c>
      <c r="J237" s="615">
        <f>SUM(H237+I237)</f>
        <v>3750</v>
      </c>
      <c r="K237" s="622">
        <f>J237*7.5345</f>
        <v>28254.375</v>
      </c>
      <c r="L237" s="650">
        <f t="shared" si="147"/>
        <v>100</v>
      </c>
    </row>
    <row r="238" spans="1:12" s="210" customFormat="1" ht="18" thickBot="1" x14ac:dyDescent="0.3">
      <c r="A238" s="876" t="s">
        <v>616</v>
      </c>
      <c r="B238" s="877"/>
      <c r="C238" s="877"/>
      <c r="D238" s="878"/>
      <c r="E238" s="544">
        <v>200000</v>
      </c>
      <c r="F238" s="544">
        <f t="shared" ref="F238:H238" si="148">SUM(F241)</f>
        <v>600000</v>
      </c>
      <c r="G238" s="544">
        <f t="shared" si="148"/>
        <v>79633.685048775631</v>
      </c>
      <c r="H238" s="544">
        <f t="shared" si="148"/>
        <v>90000</v>
      </c>
      <c r="I238" s="544">
        <f t="shared" ref="I238:J238" si="149">SUM(I241)</f>
        <v>0</v>
      </c>
      <c r="J238" s="544">
        <f t="shared" si="149"/>
        <v>90000</v>
      </c>
      <c r="K238" s="549">
        <f t="shared" ref="K238" si="150">SUM(K241)</f>
        <v>678105</v>
      </c>
      <c r="L238" s="544">
        <f t="shared" si="147"/>
        <v>100</v>
      </c>
    </row>
    <row r="239" spans="1:12" s="97" customFormat="1" ht="15.6" x14ac:dyDescent="0.3">
      <c r="A239" s="401"/>
      <c r="B239" s="40"/>
      <c r="C239" s="40"/>
      <c r="D239" s="396" t="s">
        <v>429</v>
      </c>
      <c r="E239" s="373">
        <v>200000</v>
      </c>
      <c r="F239" s="372"/>
      <c r="G239" s="372"/>
      <c r="H239" s="372"/>
      <c r="I239" s="372"/>
      <c r="J239" s="372"/>
      <c r="K239" s="529"/>
      <c r="L239" s="372"/>
    </row>
    <row r="240" spans="1:12" s="28" customFormat="1" ht="13.8" x14ac:dyDescent="0.25">
      <c r="A240" s="401"/>
      <c r="B240" s="40"/>
      <c r="C240" s="40"/>
      <c r="D240" s="396" t="s">
        <v>662</v>
      </c>
      <c r="E240" s="363">
        <v>200000</v>
      </c>
      <c r="F240" s="372"/>
      <c r="G240" s="372"/>
      <c r="H240" s="372"/>
      <c r="I240" s="372"/>
      <c r="J240" s="372"/>
      <c r="K240" s="529"/>
      <c r="L240" s="372"/>
    </row>
    <row r="241" spans="1:12" ht="15.6" x14ac:dyDescent="0.3">
      <c r="A241" s="425"/>
      <c r="B241" s="97"/>
      <c r="C241" s="97"/>
      <c r="D241" s="429" t="s">
        <v>468</v>
      </c>
      <c r="E241" s="426">
        <v>200000</v>
      </c>
      <c r="F241" s="424">
        <f t="shared" ref="F241:K243" si="151">SUM(F242)</f>
        <v>600000</v>
      </c>
      <c r="G241" s="424">
        <f t="shared" si="151"/>
        <v>79633.685048775631</v>
      </c>
      <c r="H241" s="602">
        <f t="shared" si="151"/>
        <v>90000</v>
      </c>
      <c r="I241" s="602">
        <f t="shared" si="151"/>
        <v>0</v>
      </c>
      <c r="J241" s="602">
        <f t="shared" si="151"/>
        <v>90000</v>
      </c>
      <c r="K241" s="530">
        <f t="shared" si="151"/>
        <v>678105</v>
      </c>
      <c r="L241" s="734">
        <f>AVERAGE(J241/H241*100)</f>
        <v>100</v>
      </c>
    </row>
    <row r="242" spans="1:12" ht="13.8" x14ac:dyDescent="0.25">
      <c r="A242" s="358" t="s">
        <v>456</v>
      </c>
      <c r="B242" s="364"/>
      <c r="C242" s="354">
        <v>38</v>
      </c>
      <c r="D242" s="365" t="s">
        <v>80</v>
      </c>
      <c r="E242" s="362">
        <v>200000</v>
      </c>
      <c r="F242" s="362">
        <f t="shared" si="151"/>
        <v>600000</v>
      </c>
      <c r="G242" s="362">
        <f t="shared" si="151"/>
        <v>79633.685048775631</v>
      </c>
      <c r="H242" s="629">
        <f t="shared" si="151"/>
        <v>90000</v>
      </c>
      <c r="I242" s="629">
        <f t="shared" si="151"/>
        <v>0</v>
      </c>
      <c r="J242" s="629">
        <f t="shared" si="151"/>
        <v>90000</v>
      </c>
      <c r="K242" s="533">
        <f t="shared" si="151"/>
        <v>678105</v>
      </c>
      <c r="L242" s="734">
        <f>AVERAGE(J242/H242*100)</f>
        <v>100</v>
      </c>
    </row>
    <row r="243" spans="1:12" ht="13.8" x14ac:dyDescent="0.25">
      <c r="A243" s="355" t="s">
        <v>456</v>
      </c>
      <c r="B243" s="366"/>
      <c r="C243" s="367">
        <v>381</v>
      </c>
      <c r="D243" s="368" t="s">
        <v>37</v>
      </c>
      <c r="E243" s="363">
        <v>200000</v>
      </c>
      <c r="F243" s="363">
        <f t="shared" si="151"/>
        <v>600000</v>
      </c>
      <c r="G243" s="363">
        <f t="shared" si="151"/>
        <v>79633.685048775631</v>
      </c>
      <c r="H243" s="615">
        <f t="shared" si="151"/>
        <v>90000</v>
      </c>
      <c r="I243" s="615">
        <f t="shared" si="151"/>
        <v>0</v>
      </c>
      <c r="J243" s="615">
        <f t="shared" si="151"/>
        <v>90000</v>
      </c>
      <c r="K243" s="532">
        <f t="shared" si="151"/>
        <v>678105</v>
      </c>
      <c r="L243" s="384">
        <f t="shared" ref="L243:L245" si="152">AVERAGE(J243/H243*100)</f>
        <v>100</v>
      </c>
    </row>
    <row r="244" spans="1:12" s="390" customFormat="1" ht="14.4" thickBot="1" x14ac:dyDescent="0.3">
      <c r="A244" s="355" t="s">
        <v>456</v>
      </c>
      <c r="B244" s="453"/>
      <c r="C244" s="399">
        <v>3811</v>
      </c>
      <c r="D244" s="370" t="s">
        <v>84</v>
      </c>
      <c r="E244" s="361">
        <v>200000</v>
      </c>
      <c r="F244" s="361">
        <v>600000</v>
      </c>
      <c r="G244" s="363">
        <f>F244/7.5345</f>
        <v>79633.685048775631</v>
      </c>
      <c r="H244" s="615">
        <v>90000</v>
      </c>
      <c r="I244" s="363">
        <v>0</v>
      </c>
      <c r="J244" s="363">
        <f>SUM(H244+I244)</f>
        <v>90000</v>
      </c>
      <c r="K244" s="532">
        <f>J244*7.5345</f>
        <v>678105</v>
      </c>
      <c r="L244" s="384">
        <f t="shared" si="152"/>
        <v>100</v>
      </c>
    </row>
    <row r="245" spans="1:12" s="97" customFormat="1" ht="18.600000000000001" thickTop="1" thickBot="1" x14ac:dyDescent="0.35">
      <c r="A245" s="876" t="s">
        <v>617</v>
      </c>
      <c r="B245" s="877"/>
      <c r="C245" s="877"/>
      <c r="D245" s="878"/>
      <c r="E245" s="544">
        <f t="shared" ref="E245:H245" si="153">SUM(E248+E254)</f>
        <v>45000</v>
      </c>
      <c r="F245" s="544">
        <f t="shared" si="153"/>
        <v>127000</v>
      </c>
      <c r="G245" s="544">
        <f t="shared" si="153"/>
        <v>16855.796668657509</v>
      </c>
      <c r="H245" s="544">
        <f t="shared" si="153"/>
        <v>29500</v>
      </c>
      <c r="I245" s="544">
        <f t="shared" ref="I245:K245" si="154">SUM(I248+I254)</f>
        <v>-8300</v>
      </c>
      <c r="J245" s="544">
        <f t="shared" si="154"/>
        <v>21200</v>
      </c>
      <c r="K245" s="549">
        <f t="shared" si="154"/>
        <v>159731.40000000002</v>
      </c>
      <c r="L245" s="544">
        <f t="shared" si="152"/>
        <v>71.86440677966101</v>
      </c>
    </row>
    <row r="246" spans="1:12" s="28" customFormat="1" ht="13.8" x14ac:dyDescent="0.25">
      <c r="A246" s="401"/>
      <c r="B246" s="40"/>
      <c r="C246" s="40"/>
      <c r="D246" s="396" t="s">
        <v>227</v>
      </c>
      <c r="E246" s="373"/>
      <c r="F246" s="372"/>
      <c r="G246" s="372"/>
      <c r="H246" s="372"/>
      <c r="I246" s="372"/>
      <c r="J246" s="372"/>
      <c r="K246" s="529"/>
      <c r="L246" s="861">
        <f>AVERAGE(J248/H248*100)</f>
        <v>100</v>
      </c>
    </row>
    <row r="247" spans="1:12" ht="13.8" x14ac:dyDescent="0.25">
      <c r="A247" s="401"/>
      <c r="B247" s="40"/>
      <c r="C247" s="40"/>
      <c r="D247" s="395" t="s">
        <v>651</v>
      </c>
      <c r="E247" s="363"/>
      <c r="F247" s="372"/>
      <c r="G247" s="372"/>
      <c r="H247" s="372"/>
      <c r="I247" s="372"/>
      <c r="J247" s="372"/>
      <c r="K247" s="529"/>
      <c r="L247" s="850"/>
    </row>
    <row r="248" spans="1:12" ht="15.6" x14ac:dyDescent="0.3">
      <c r="A248" s="425"/>
      <c r="B248" s="97"/>
      <c r="C248" s="97"/>
      <c r="D248" s="429" t="s">
        <v>431</v>
      </c>
      <c r="E248" s="426">
        <v>20000</v>
      </c>
      <c r="F248" s="424">
        <f t="shared" ref="F248:K250" si="155">SUM(F249)</f>
        <v>25000</v>
      </c>
      <c r="G248" s="424">
        <f t="shared" si="155"/>
        <v>3318.0702103656513</v>
      </c>
      <c r="H248" s="424">
        <f t="shared" si="155"/>
        <v>3500</v>
      </c>
      <c r="I248" s="424">
        <f t="shared" si="155"/>
        <v>0</v>
      </c>
      <c r="J248" s="424">
        <f t="shared" si="155"/>
        <v>3500</v>
      </c>
      <c r="K248" s="530">
        <f t="shared" si="155"/>
        <v>26370.75</v>
      </c>
      <c r="L248" s="851"/>
    </row>
    <row r="249" spans="1:12" ht="13.8" x14ac:dyDescent="0.25">
      <c r="A249" s="358" t="s">
        <v>457</v>
      </c>
      <c r="B249" s="364"/>
      <c r="C249" s="354">
        <v>38</v>
      </c>
      <c r="D249" s="365" t="s">
        <v>80</v>
      </c>
      <c r="E249" s="362">
        <v>20000</v>
      </c>
      <c r="F249" s="362">
        <f t="shared" si="155"/>
        <v>25000</v>
      </c>
      <c r="G249" s="362">
        <f t="shared" si="155"/>
        <v>3318.0702103656513</v>
      </c>
      <c r="H249" s="362">
        <f t="shared" si="155"/>
        <v>3500</v>
      </c>
      <c r="I249" s="362">
        <f t="shared" si="155"/>
        <v>0</v>
      </c>
      <c r="J249" s="362">
        <f t="shared" si="155"/>
        <v>3500</v>
      </c>
      <c r="K249" s="533">
        <f t="shared" si="155"/>
        <v>26370.75</v>
      </c>
      <c r="L249" s="734">
        <f>AVERAGE(J249/H249*100)</f>
        <v>100</v>
      </c>
    </row>
    <row r="250" spans="1:12" ht="13.8" x14ac:dyDescent="0.25">
      <c r="A250" s="355" t="s">
        <v>457</v>
      </c>
      <c r="B250" s="446"/>
      <c r="C250" s="367">
        <v>381</v>
      </c>
      <c r="D250" s="368" t="s">
        <v>37</v>
      </c>
      <c r="E250" s="363">
        <v>20000</v>
      </c>
      <c r="F250" s="363">
        <f t="shared" si="155"/>
        <v>25000</v>
      </c>
      <c r="G250" s="363">
        <f t="shared" si="155"/>
        <v>3318.0702103656513</v>
      </c>
      <c r="H250" s="363">
        <f t="shared" si="155"/>
        <v>3500</v>
      </c>
      <c r="I250" s="363">
        <f t="shared" si="155"/>
        <v>0</v>
      </c>
      <c r="J250" s="363">
        <f t="shared" si="155"/>
        <v>3500</v>
      </c>
      <c r="K250" s="532">
        <f t="shared" si="155"/>
        <v>26370.75</v>
      </c>
      <c r="L250" s="384">
        <f t="shared" ref="L250:L251" si="156">AVERAGE(J250/H250*100)</f>
        <v>100</v>
      </c>
    </row>
    <row r="251" spans="1:12" ht="14.4" thickBot="1" x14ac:dyDescent="0.3">
      <c r="A251" s="404" t="s">
        <v>457</v>
      </c>
      <c r="B251" s="448"/>
      <c r="C251" s="386">
        <v>3811</v>
      </c>
      <c r="D251" s="387" t="s">
        <v>85</v>
      </c>
      <c r="E251" s="388">
        <v>20000</v>
      </c>
      <c r="F251" s="388">
        <v>25000</v>
      </c>
      <c r="G251" s="388">
        <f>F251/7.5345</f>
        <v>3318.0702103656513</v>
      </c>
      <c r="H251" s="388">
        <v>3500</v>
      </c>
      <c r="I251" s="388">
        <v>0</v>
      </c>
      <c r="J251" s="388">
        <f>SUM(H251+I251)</f>
        <v>3500</v>
      </c>
      <c r="K251" s="534">
        <f>J251*7.5345</f>
        <v>26370.75</v>
      </c>
      <c r="L251" s="384">
        <f t="shared" si="156"/>
        <v>100</v>
      </c>
    </row>
    <row r="252" spans="1:12" ht="14.4" thickTop="1" x14ac:dyDescent="0.25">
      <c r="A252" s="401"/>
      <c r="B252" s="451"/>
      <c r="C252" s="40"/>
      <c r="D252" s="396" t="s">
        <v>227</v>
      </c>
      <c r="E252" s="373"/>
      <c r="F252" s="372"/>
      <c r="G252" s="372"/>
      <c r="H252" s="372"/>
      <c r="I252" s="372"/>
      <c r="J252" s="372"/>
      <c r="K252" s="529"/>
      <c r="L252" s="849">
        <f>AVERAGE(J254/H254*100)</f>
        <v>68.07692307692308</v>
      </c>
    </row>
    <row r="253" spans="1:12" s="440" customFormat="1" ht="13.8" x14ac:dyDescent="0.25">
      <c r="A253" s="401"/>
      <c r="B253" s="451"/>
      <c r="C253" s="40"/>
      <c r="D253" s="395" t="s">
        <v>658</v>
      </c>
      <c r="E253" s="363"/>
      <c r="F253" s="372"/>
      <c r="G253" s="372"/>
      <c r="H253" s="372"/>
      <c r="I253" s="372"/>
      <c r="J253" s="372"/>
      <c r="K253" s="529"/>
      <c r="L253" s="850"/>
    </row>
    <row r="254" spans="1:12" ht="15.6" x14ac:dyDescent="0.3">
      <c r="A254" s="656"/>
      <c r="B254" s="668"/>
      <c r="C254" s="658"/>
      <c r="D254" s="616" t="s">
        <v>430</v>
      </c>
      <c r="E254" s="426">
        <v>25000</v>
      </c>
      <c r="F254" s="424">
        <f t="shared" ref="F254:K254" si="157">SUM(F255)</f>
        <v>102000</v>
      </c>
      <c r="G254" s="424">
        <f t="shared" si="157"/>
        <v>13537.726458291856</v>
      </c>
      <c r="H254" s="424">
        <f t="shared" si="157"/>
        <v>26000</v>
      </c>
      <c r="I254" s="424">
        <f t="shared" si="157"/>
        <v>-8300</v>
      </c>
      <c r="J254" s="424">
        <f t="shared" si="157"/>
        <v>17700</v>
      </c>
      <c r="K254" s="530">
        <f t="shared" si="157"/>
        <v>133360.65000000002</v>
      </c>
      <c r="L254" s="851"/>
    </row>
    <row r="255" spans="1:12" s="210" customFormat="1" ht="13.8" x14ac:dyDescent="0.25">
      <c r="A255" s="358" t="s">
        <v>529</v>
      </c>
      <c r="B255" s="447"/>
      <c r="C255" s="354">
        <v>32</v>
      </c>
      <c r="D255" s="365" t="s">
        <v>180</v>
      </c>
      <c r="E255" s="362">
        <v>25000</v>
      </c>
      <c r="F255" s="362">
        <f t="shared" ref="F255:J255" si="158">SUM(F256+F259)</f>
        <v>102000</v>
      </c>
      <c r="G255" s="362">
        <f t="shared" si="158"/>
        <v>13537.726458291856</v>
      </c>
      <c r="H255" s="362">
        <f t="shared" si="158"/>
        <v>26000</v>
      </c>
      <c r="I255" s="362">
        <f t="shared" si="158"/>
        <v>-8300</v>
      </c>
      <c r="J255" s="362">
        <f t="shared" si="158"/>
        <v>17700</v>
      </c>
      <c r="K255" s="533">
        <f t="shared" ref="K255" si="159">SUM(K256+K259)</f>
        <v>133360.65000000002</v>
      </c>
      <c r="L255" s="734">
        <f>AVERAGE(J255/H255*100)</f>
        <v>68.07692307692308</v>
      </c>
    </row>
    <row r="256" spans="1:12" s="97" customFormat="1" ht="15.6" x14ac:dyDescent="0.3">
      <c r="A256" s="355" t="s">
        <v>529</v>
      </c>
      <c r="B256" s="446"/>
      <c r="C256" s="367">
        <v>323</v>
      </c>
      <c r="D256" s="368" t="s">
        <v>56</v>
      </c>
      <c r="E256" s="363">
        <v>8000</v>
      </c>
      <c r="F256" s="363">
        <f t="shared" ref="F256:J256" si="160">SUM(F257:F258)</f>
        <v>90000</v>
      </c>
      <c r="G256" s="363">
        <f t="shared" si="160"/>
        <v>11945.052757316344</v>
      </c>
      <c r="H256" s="363">
        <f t="shared" si="160"/>
        <v>20000</v>
      </c>
      <c r="I256" s="363">
        <f t="shared" si="160"/>
        <v>-5400</v>
      </c>
      <c r="J256" s="363">
        <f t="shared" si="160"/>
        <v>14600</v>
      </c>
      <c r="K256" s="532">
        <f t="shared" ref="K256" si="161">SUM(K257:K258)</f>
        <v>110003.70000000001</v>
      </c>
      <c r="L256" s="384">
        <f t="shared" ref="L256:L262" si="162">AVERAGE(J256/H256*100)</f>
        <v>73</v>
      </c>
    </row>
    <row r="257" spans="1:12" s="211" customFormat="1" ht="13.8" x14ac:dyDescent="0.25">
      <c r="A257" s="355" t="s">
        <v>529</v>
      </c>
      <c r="B257" s="446"/>
      <c r="C257" s="367">
        <v>3233</v>
      </c>
      <c r="D257" s="368" t="s">
        <v>59</v>
      </c>
      <c r="E257" s="363">
        <v>5000</v>
      </c>
      <c r="F257" s="363">
        <v>10000</v>
      </c>
      <c r="G257" s="363">
        <f>F257/7.5345</f>
        <v>1327.2280841462605</v>
      </c>
      <c r="H257" s="363">
        <v>15000</v>
      </c>
      <c r="I257" s="363">
        <v>-6000</v>
      </c>
      <c r="J257" s="363">
        <f>SUM(H257+I257)</f>
        <v>9000</v>
      </c>
      <c r="K257" s="532">
        <f>J257*7.5345</f>
        <v>67810.5</v>
      </c>
      <c r="L257" s="384">
        <f t="shared" si="162"/>
        <v>60</v>
      </c>
    </row>
    <row r="258" spans="1:12" ht="13.8" x14ac:dyDescent="0.25">
      <c r="A258" s="355" t="s">
        <v>529</v>
      </c>
      <c r="B258" s="446"/>
      <c r="C258" s="367">
        <v>3239</v>
      </c>
      <c r="D258" s="368" t="s">
        <v>64</v>
      </c>
      <c r="E258" s="363">
        <v>3000</v>
      </c>
      <c r="F258" s="363">
        <v>80000</v>
      </c>
      <c r="G258" s="363">
        <f>F258/7.5345</f>
        <v>10617.824673170084</v>
      </c>
      <c r="H258" s="363">
        <v>5000</v>
      </c>
      <c r="I258" s="363">
        <v>600</v>
      </c>
      <c r="J258" s="363">
        <f>SUM(H258+I258)</f>
        <v>5600</v>
      </c>
      <c r="K258" s="532">
        <f>J258*7.5345</f>
        <v>42193.200000000004</v>
      </c>
      <c r="L258" s="384">
        <f t="shared" si="162"/>
        <v>112.00000000000001</v>
      </c>
    </row>
    <row r="259" spans="1:12" ht="13.8" x14ac:dyDescent="0.25">
      <c r="A259" s="355" t="s">
        <v>529</v>
      </c>
      <c r="B259" s="446"/>
      <c r="C259" s="367">
        <v>329</v>
      </c>
      <c r="D259" s="368" t="s">
        <v>65</v>
      </c>
      <c r="E259" s="363">
        <v>17000</v>
      </c>
      <c r="F259" s="363">
        <f t="shared" ref="F259:G259" si="163">SUM(F260:F261)</f>
        <v>12000</v>
      </c>
      <c r="G259" s="363">
        <f t="shared" si="163"/>
        <v>1592.6737009755125</v>
      </c>
      <c r="H259" s="363">
        <f>SUM(H260+H261)</f>
        <v>6000</v>
      </c>
      <c r="I259" s="363">
        <f t="shared" ref="I259:J259" si="164">SUM(I260+I261)</f>
        <v>-2900</v>
      </c>
      <c r="J259" s="363">
        <f t="shared" si="164"/>
        <v>3100</v>
      </c>
      <c r="K259" s="532">
        <f t="shared" ref="K259" si="165">SUM(K260:K261)</f>
        <v>23356.95</v>
      </c>
      <c r="L259" s="384">
        <f t="shared" si="162"/>
        <v>51.666666666666671</v>
      </c>
    </row>
    <row r="260" spans="1:12" ht="13.8" x14ac:dyDescent="0.25">
      <c r="A260" s="355" t="s">
        <v>529</v>
      </c>
      <c r="B260" s="446"/>
      <c r="C260" s="367">
        <v>3293</v>
      </c>
      <c r="D260" s="368" t="s">
        <v>68</v>
      </c>
      <c r="E260" s="363">
        <v>15000</v>
      </c>
      <c r="F260" s="363">
        <v>10000</v>
      </c>
      <c r="G260" s="363">
        <f>F260/7.5345</f>
        <v>1327.2280841462605</v>
      </c>
      <c r="H260" s="363">
        <v>5000</v>
      </c>
      <c r="I260" s="363">
        <v>-1900</v>
      </c>
      <c r="J260" s="363">
        <f>SUM(H260+I260)</f>
        <v>3100</v>
      </c>
      <c r="K260" s="532">
        <f>J260*7.5345</f>
        <v>23356.95</v>
      </c>
      <c r="L260" s="384">
        <f t="shared" si="162"/>
        <v>62</v>
      </c>
    </row>
    <row r="261" spans="1:12" ht="14.4" thickBot="1" x14ac:dyDescent="0.3">
      <c r="A261" s="355" t="s">
        <v>529</v>
      </c>
      <c r="B261" s="453"/>
      <c r="C261" s="399">
        <v>3299</v>
      </c>
      <c r="D261" s="370" t="s">
        <v>231</v>
      </c>
      <c r="E261" s="361">
        <v>2000</v>
      </c>
      <c r="F261" s="361">
        <v>2000</v>
      </c>
      <c r="G261" s="363">
        <f>F261/7.5345</f>
        <v>265.44561682925212</v>
      </c>
      <c r="H261" s="363">
        <v>1000</v>
      </c>
      <c r="I261" s="363">
        <v>-1000</v>
      </c>
      <c r="J261" s="363">
        <f>SUM(H261+I261)</f>
        <v>0</v>
      </c>
      <c r="K261" s="532">
        <f>J261*7.5345</f>
        <v>0</v>
      </c>
      <c r="L261" s="384">
        <f t="shared" si="162"/>
        <v>0</v>
      </c>
    </row>
    <row r="262" spans="1:12" s="440" customFormat="1" ht="18" thickBot="1" x14ac:dyDescent="0.3">
      <c r="A262" s="876" t="s">
        <v>618</v>
      </c>
      <c r="B262" s="877"/>
      <c r="C262" s="877"/>
      <c r="D262" s="878"/>
      <c r="E262" s="544">
        <v>70000</v>
      </c>
      <c r="F262" s="544">
        <f t="shared" ref="F262:H262" si="166">SUM(F265)</f>
        <v>45000</v>
      </c>
      <c r="G262" s="544">
        <f t="shared" si="166"/>
        <v>5972.5263786581727</v>
      </c>
      <c r="H262" s="544">
        <f t="shared" si="166"/>
        <v>38000</v>
      </c>
      <c r="I262" s="544">
        <f t="shared" ref="I262:J262" si="167">SUM(I265)</f>
        <v>15000</v>
      </c>
      <c r="J262" s="544">
        <f t="shared" si="167"/>
        <v>53000</v>
      </c>
      <c r="K262" s="549">
        <f t="shared" ref="K262" si="168">SUM(K265)</f>
        <v>399328.5</v>
      </c>
      <c r="L262" s="544">
        <f t="shared" si="162"/>
        <v>139.4736842105263</v>
      </c>
    </row>
    <row r="263" spans="1:12" ht="13.8" x14ac:dyDescent="0.25">
      <c r="A263" s="401"/>
      <c r="B263" s="40"/>
      <c r="C263" s="40"/>
      <c r="D263" s="396" t="s">
        <v>234</v>
      </c>
      <c r="E263" s="373"/>
      <c r="F263" s="372"/>
      <c r="G263" s="372"/>
      <c r="H263" s="372"/>
      <c r="I263" s="372"/>
      <c r="J263" s="372"/>
      <c r="K263" s="529"/>
      <c r="L263" s="861">
        <f>AVERAGE(J265/H265*100)</f>
        <v>139.4736842105263</v>
      </c>
    </row>
    <row r="264" spans="1:12" s="210" customFormat="1" ht="13.8" x14ac:dyDescent="0.25">
      <c r="A264" s="401"/>
      <c r="B264" s="40"/>
      <c r="C264" s="40"/>
      <c r="D264" s="397" t="s">
        <v>651</v>
      </c>
      <c r="E264" s="363"/>
      <c r="F264" s="372"/>
      <c r="G264" s="372"/>
      <c r="H264" s="372"/>
      <c r="I264" s="372"/>
      <c r="J264" s="372"/>
      <c r="K264" s="529"/>
      <c r="L264" s="850"/>
    </row>
    <row r="265" spans="1:12" s="97" customFormat="1" ht="15.6" x14ac:dyDescent="0.3">
      <c r="A265" s="425"/>
      <c r="D265" s="616" t="s">
        <v>433</v>
      </c>
      <c r="E265" s="426">
        <v>70000</v>
      </c>
      <c r="F265" s="424">
        <f t="shared" ref="F265:K265" si="169">SUM(F266)</f>
        <v>45000</v>
      </c>
      <c r="G265" s="424">
        <f t="shared" si="169"/>
        <v>5972.5263786581727</v>
      </c>
      <c r="H265" s="424">
        <f t="shared" si="169"/>
        <v>38000</v>
      </c>
      <c r="I265" s="424">
        <f t="shared" si="169"/>
        <v>15000</v>
      </c>
      <c r="J265" s="424">
        <f t="shared" si="169"/>
        <v>53000</v>
      </c>
      <c r="K265" s="530">
        <f t="shared" si="169"/>
        <v>399328.5</v>
      </c>
      <c r="L265" s="851"/>
    </row>
    <row r="266" spans="1:12" s="28" customFormat="1" ht="13.8" x14ac:dyDescent="0.25">
      <c r="A266" s="358" t="s">
        <v>458</v>
      </c>
      <c r="B266" s="447"/>
      <c r="C266" s="354">
        <v>38</v>
      </c>
      <c r="D266" s="365" t="s">
        <v>80</v>
      </c>
      <c r="E266" s="362">
        <v>70000</v>
      </c>
      <c r="F266" s="362">
        <f t="shared" ref="F266:J266" si="170">SUM(F267+F269)</f>
        <v>45000</v>
      </c>
      <c r="G266" s="362">
        <f t="shared" si="170"/>
        <v>5972.5263786581727</v>
      </c>
      <c r="H266" s="362">
        <f t="shared" si="170"/>
        <v>38000</v>
      </c>
      <c r="I266" s="362">
        <f t="shared" si="170"/>
        <v>15000</v>
      </c>
      <c r="J266" s="362">
        <f t="shared" si="170"/>
        <v>53000</v>
      </c>
      <c r="K266" s="533">
        <f t="shared" ref="K266" si="171">SUM(K267+K269)</f>
        <v>399328.5</v>
      </c>
      <c r="L266" s="734">
        <f>AVERAGE(J266/H266*100)</f>
        <v>139.4736842105263</v>
      </c>
    </row>
    <row r="267" spans="1:12" ht="13.8" x14ac:dyDescent="0.25">
      <c r="A267" s="355" t="s">
        <v>458</v>
      </c>
      <c r="B267" s="446"/>
      <c r="C267" s="367">
        <v>381</v>
      </c>
      <c r="D267" s="368" t="s">
        <v>37</v>
      </c>
      <c r="E267" s="363">
        <v>50000</v>
      </c>
      <c r="F267" s="363">
        <f t="shared" ref="F267:K267" si="172">SUM(F268)</f>
        <v>20000</v>
      </c>
      <c r="G267" s="363">
        <f t="shared" si="172"/>
        <v>2654.4561682925209</v>
      </c>
      <c r="H267" s="363">
        <f t="shared" si="172"/>
        <v>3000</v>
      </c>
      <c r="I267" s="363">
        <f>SUM(I268)</f>
        <v>5000</v>
      </c>
      <c r="J267" s="363">
        <f t="shared" si="172"/>
        <v>8000</v>
      </c>
      <c r="K267" s="532">
        <f t="shared" si="172"/>
        <v>60276</v>
      </c>
      <c r="L267" s="384">
        <f t="shared" ref="L267:L271" si="173">AVERAGE(J267/H267*100)</f>
        <v>266.66666666666663</v>
      </c>
    </row>
    <row r="268" spans="1:12" ht="13.8" x14ac:dyDescent="0.25">
      <c r="A268" s="355" t="s">
        <v>458</v>
      </c>
      <c r="B268" s="446"/>
      <c r="C268" s="367">
        <v>3811</v>
      </c>
      <c r="D268" s="368" t="s">
        <v>82</v>
      </c>
      <c r="E268" s="363">
        <v>50000</v>
      </c>
      <c r="F268" s="363">
        <v>20000</v>
      </c>
      <c r="G268" s="363">
        <f>F268/7.5345</f>
        <v>2654.4561682925209</v>
      </c>
      <c r="H268" s="363">
        <v>3000</v>
      </c>
      <c r="I268" s="363">
        <v>5000</v>
      </c>
      <c r="J268" s="363">
        <f>SUM(H268+I268)</f>
        <v>8000</v>
      </c>
      <c r="K268" s="532">
        <f>J268*7.5345</f>
        <v>60276</v>
      </c>
      <c r="L268" s="384">
        <f t="shared" si="173"/>
        <v>266.66666666666663</v>
      </c>
    </row>
    <row r="269" spans="1:12" ht="13.8" x14ac:dyDescent="0.25">
      <c r="A269" s="355" t="s">
        <v>458</v>
      </c>
      <c r="B269" s="446"/>
      <c r="C269" s="367">
        <v>382</v>
      </c>
      <c r="D269" s="368" t="s">
        <v>38</v>
      </c>
      <c r="E269" s="363">
        <v>20000</v>
      </c>
      <c r="F269" s="363">
        <f t="shared" ref="F269:K269" si="174">SUM(F270)</f>
        <v>25000</v>
      </c>
      <c r="G269" s="363">
        <f t="shared" si="174"/>
        <v>3318.0702103656513</v>
      </c>
      <c r="H269" s="363">
        <f t="shared" si="174"/>
        <v>35000</v>
      </c>
      <c r="I269" s="363">
        <f t="shared" si="174"/>
        <v>10000</v>
      </c>
      <c r="J269" s="363">
        <f t="shared" si="174"/>
        <v>45000</v>
      </c>
      <c r="K269" s="532">
        <f t="shared" si="174"/>
        <v>339052.5</v>
      </c>
      <c r="L269" s="384">
        <f t="shared" si="173"/>
        <v>128.57142857142858</v>
      </c>
    </row>
    <row r="270" spans="1:12" s="390" customFormat="1" ht="14.4" thickBot="1" x14ac:dyDescent="0.3">
      <c r="A270" s="355" t="s">
        <v>458</v>
      </c>
      <c r="B270" s="453"/>
      <c r="C270" s="399">
        <v>3821</v>
      </c>
      <c r="D270" s="370" t="s">
        <v>235</v>
      </c>
      <c r="E270" s="361">
        <v>20000</v>
      </c>
      <c r="F270" s="361">
        <v>25000</v>
      </c>
      <c r="G270" s="363">
        <f>F270/7.5345</f>
        <v>3318.0702103656513</v>
      </c>
      <c r="H270" s="363">
        <v>35000</v>
      </c>
      <c r="I270" s="363">
        <v>10000</v>
      </c>
      <c r="J270" s="363">
        <f>SUM(H270+I270)</f>
        <v>45000</v>
      </c>
      <c r="K270" s="532">
        <f>J270*7.5345</f>
        <v>339052.5</v>
      </c>
      <c r="L270" s="384">
        <f t="shared" si="173"/>
        <v>128.57142857142858</v>
      </c>
    </row>
    <row r="271" spans="1:12" s="97" customFormat="1" ht="18.600000000000001" thickTop="1" thickBot="1" x14ac:dyDescent="0.35">
      <c r="A271" s="876" t="s">
        <v>619</v>
      </c>
      <c r="B271" s="877"/>
      <c r="C271" s="877"/>
      <c r="D271" s="878"/>
      <c r="E271" s="544">
        <f t="shared" ref="E271:H271" si="175">SUM(E274+E280)</f>
        <v>19000</v>
      </c>
      <c r="F271" s="544">
        <f t="shared" si="175"/>
        <v>28000</v>
      </c>
      <c r="G271" s="544">
        <f t="shared" si="175"/>
        <v>3716.2386356095294</v>
      </c>
      <c r="H271" s="544">
        <f t="shared" si="175"/>
        <v>4500</v>
      </c>
      <c r="I271" s="544">
        <f t="shared" ref="I271:K271" si="176">SUM(I274+I280)</f>
        <v>0</v>
      </c>
      <c r="J271" s="544">
        <f t="shared" si="176"/>
        <v>4500</v>
      </c>
      <c r="K271" s="549">
        <f t="shared" si="176"/>
        <v>33905.25</v>
      </c>
      <c r="L271" s="544">
        <f t="shared" si="173"/>
        <v>100</v>
      </c>
    </row>
    <row r="272" spans="1:12" s="28" customFormat="1" ht="13.8" x14ac:dyDescent="0.25">
      <c r="A272" s="401"/>
      <c r="B272" s="40"/>
      <c r="C272" s="40"/>
      <c r="D272" s="396" t="s">
        <v>178</v>
      </c>
      <c r="E272" s="373"/>
      <c r="F272" s="372"/>
      <c r="G272" s="372"/>
      <c r="H272" s="372"/>
      <c r="I272" s="372"/>
      <c r="J272" s="372"/>
      <c r="K272" s="529"/>
      <c r="L272" s="861">
        <f>AVERAGE(J274/H274*100)</f>
        <v>100</v>
      </c>
    </row>
    <row r="273" spans="1:12" ht="13.8" x14ac:dyDescent="0.25">
      <c r="A273" s="401"/>
      <c r="B273" s="40"/>
      <c r="C273" s="40"/>
      <c r="D273" s="395" t="s">
        <v>651</v>
      </c>
      <c r="E273" s="363"/>
      <c r="F273" s="372"/>
      <c r="G273" s="372"/>
      <c r="H273" s="372"/>
      <c r="I273" s="372"/>
      <c r="J273" s="372"/>
      <c r="K273" s="529"/>
      <c r="L273" s="850"/>
    </row>
    <row r="274" spans="1:12" s="4" customFormat="1" ht="15.6" x14ac:dyDescent="0.3">
      <c r="A274" s="425"/>
      <c r="B274" s="97"/>
      <c r="C274" s="97"/>
      <c r="D274" s="422" t="s">
        <v>432</v>
      </c>
      <c r="E274" s="426">
        <v>13000</v>
      </c>
      <c r="F274" s="424">
        <f t="shared" ref="F274:K276" si="177">SUM(F275)</f>
        <v>13000</v>
      </c>
      <c r="G274" s="424">
        <f t="shared" si="177"/>
        <v>1725.3965093901386</v>
      </c>
      <c r="H274" s="424">
        <f t="shared" si="177"/>
        <v>1500</v>
      </c>
      <c r="I274" s="424">
        <f t="shared" si="177"/>
        <v>0</v>
      </c>
      <c r="J274" s="424">
        <f t="shared" si="177"/>
        <v>1500</v>
      </c>
      <c r="K274" s="530">
        <f t="shared" si="177"/>
        <v>11301.75</v>
      </c>
      <c r="L274" s="851"/>
    </row>
    <row r="275" spans="1:12" s="440" customFormat="1" ht="13.8" x14ac:dyDescent="0.25">
      <c r="A275" s="358" t="s">
        <v>551</v>
      </c>
      <c r="B275" s="364"/>
      <c r="C275" s="354">
        <v>38</v>
      </c>
      <c r="D275" s="365" t="s">
        <v>80</v>
      </c>
      <c r="E275" s="362">
        <v>13000</v>
      </c>
      <c r="F275" s="362">
        <f t="shared" si="177"/>
        <v>13000</v>
      </c>
      <c r="G275" s="362">
        <f t="shared" si="177"/>
        <v>1725.3965093901386</v>
      </c>
      <c r="H275" s="362">
        <f t="shared" si="177"/>
        <v>1500</v>
      </c>
      <c r="I275" s="362">
        <f t="shared" si="177"/>
        <v>0</v>
      </c>
      <c r="J275" s="362">
        <f t="shared" si="177"/>
        <v>1500</v>
      </c>
      <c r="K275" s="533">
        <f t="shared" si="177"/>
        <v>11301.75</v>
      </c>
      <c r="L275" s="734">
        <f>AVERAGE(J275/H275*100)</f>
        <v>100</v>
      </c>
    </row>
    <row r="276" spans="1:12" ht="13.8" x14ac:dyDescent="0.25">
      <c r="A276" s="355" t="s">
        <v>551</v>
      </c>
      <c r="B276" s="446"/>
      <c r="C276" s="367">
        <v>381</v>
      </c>
      <c r="D276" s="368" t="s">
        <v>37</v>
      </c>
      <c r="E276" s="363">
        <v>13000</v>
      </c>
      <c r="F276" s="363">
        <f t="shared" si="177"/>
        <v>13000</v>
      </c>
      <c r="G276" s="363">
        <f t="shared" si="177"/>
        <v>1725.3965093901386</v>
      </c>
      <c r="H276" s="363">
        <f t="shared" si="177"/>
        <v>1500</v>
      </c>
      <c r="I276" s="363">
        <f t="shared" si="177"/>
        <v>0</v>
      </c>
      <c r="J276" s="363">
        <f t="shared" si="177"/>
        <v>1500</v>
      </c>
      <c r="K276" s="532">
        <f t="shared" si="177"/>
        <v>11301.75</v>
      </c>
      <c r="L276" s="384">
        <f t="shared" ref="L276:L277" si="178">AVERAGE(J276/H276*100)</f>
        <v>100</v>
      </c>
    </row>
    <row r="277" spans="1:12" s="210" customFormat="1" ht="14.4" thickBot="1" x14ac:dyDescent="0.3">
      <c r="A277" s="404" t="s">
        <v>551</v>
      </c>
      <c r="B277" s="448"/>
      <c r="C277" s="386">
        <v>3811</v>
      </c>
      <c r="D277" s="387" t="s">
        <v>399</v>
      </c>
      <c r="E277" s="388">
        <v>13000</v>
      </c>
      <c r="F277" s="388">
        <v>13000</v>
      </c>
      <c r="G277" s="388">
        <f>F277/7.5345</f>
        <v>1725.3965093901386</v>
      </c>
      <c r="H277" s="388">
        <v>1500</v>
      </c>
      <c r="I277" s="388">
        <v>0</v>
      </c>
      <c r="J277" s="388">
        <f>SUM(H277+I277)</f>
        <v>1500</v>
      </c>
      <c r="K277" s="534">
        <f>J277*7.5345</f>
        <v>11301.75</v>
      </c>
      <c r="L277" s="384">
        <f t="shared" si="178"/>
        <v>100</v>
      </c>
    </row>
    <row r="278" spans="1:12" s="97" customFormat="1" ht="16.2" thickTop="1" x14ac:dyDescent="0.3">
      <c r="A278" s="401"/>
      <c r="B278" s="451"/>
      <c r="C278" s="40"/>
      <c r="D278" s="396" t="s">
        <v>178</v>
      </c>
      <c r="E278" s="373"/>
      <c r="F278" s="372"/>
      <c r="G278" s="372"/>
      <c r="H278" s="372"/>
      <c r="I278" s="372"/>
      <c r="J278" s="372"/>
      <c r="K278" s="529"/>
      <c r="L278" s="858">
        <f>AVERAGE(J280/H280*100)</f>
        <v>100</v>
      </c>
    </row>
    <row r="279" spans="1:12" s="28" customFormat="1" ht="13.8" x14ac:dyDescent="0.25">
      <c r="A279" s="401"/>
      <c r="B279" s="451"/>
      <c r="C279" s="40"/>
      <c r="D279" s="395" t="s">
        <v>651</v>
      </c>
      <c r="E279" s="363"/>
      <c r="F279" s="372"/>
      <c r="G279" s="372"/>
      <c r="H279" s="372"/>
      <c r="I279" s="372"/>
      <c r="J279" s="372"/>
      <c r="K279" s="529"/>
      <c r="L279" s="859"/>
    </row>
    <row r="280" spans="1:12" ht="15.6" x14ac:dyDescent="0.3">
      <c r="A280" s="425"/>
      <c r="B280" s="452"/>
      <c r="C280" s="97"/>
      <c r="D280" s="429" t="s">
        <v>434</v>
      </c>
      <c r="E280" s="426">
        <v>6000</v>
      </c>
      <c r="F280" s="424">
        <f t="shared" ref="F280:K282" si="179">SUM(F281)</f>
        <v>15000</v>
      </c>
      <c r="G280" s="424">
        <f t="shared" si="179"/>
        <v>1990.8421262193906</v>
      </c>
      <c r="H280" s="424">
        <f t="shared" si="179"/>
        <v>3000</v>
      </c>
      <c r="I280" s="424">
        <f t="shared" si="179"/>
        <v>0</v>
      </c>
      <c r="J280" s="424">
        <f t="shared" si="179"/>
        <v>3000</v>
      </c>
      <c r="K280" s="530">
        <f t="shared" si="179"/>
        <v>22603.5</v>
      </c>
      <c r="L280" s="860"/>
    </row>
    <row r="281" spans="1:12" ht="13.8" x14ac:dyDescent="0.25">
      <c r="A281" s="358" t="s">
        <v>552</v>
      </c>
      <c r="B281" s="447"/>
      <c r="C281" s="354">
        <v>38</v>
      </c>
      <c r="D281" s="365" t="s">
        <v>80</v>
      </c>
      <c r="E281" s="362">
        <v>6000</v>
      </c>
      <c r="F281" s="362">
        <f t="shared" si="179"/>
        <v>15000</v>
      </c>
      <c r="G281" s="362">
        <f t="shared" si="179"/>
        <v>1990.8421262193906</v>
      </c>
      <c r="H281" s="362">
        <f t="shared" si="179"/>
        <v>3000</v>
      </c>
      <c r="I281" s="362">
        <f t="shared" si="179"/>
        <v>0</v>
      </c>
      <c r="J281" s="362">
        <f t="shared" si="179"/>
        <v>3000</v>
      </c>
      <c r="K281" s="533">
        <f t="shared" si="179"/>
        <v>22603.5</v>
      </c>
      <c r="L281" s="384">
        <f>AVERAGE(J281/H281*100)</f>
        <v>100</v>
      </c>
    </row>
    <row r="282" spans="1:12" ht="13.8" x14ac:dyDescent="0.25">
      <c r="A282" s="355" t="s">
        <v>552</v>
      </c>
      <c r="B282" s="446"/>
      <c r="C282" s="367">
        <v>381</v>
      </c>
      <c r="D282" s="368" t="s">
        <v>37</v>
      </c>
      <c r="E282" s="363">
        <v>6000</v>
      </c>
      <c r="F282" s="363">
        <f t="shared" si="179"/>
        <v>15000</v>
      </c>
      <c r="G282" s="363">
        <f t="shared" si="179"/>
        <v>1990.8421262193906</v>
      </c>
      <c r="H282" s="363">
        <f t="shared" si="179"/>
        <v>3000</v>
      </c>
      <c r="I282" s="363">
        <f t="shared" si="179"/>
        <v>0</v>
      </c>
      <c r="J282" s="363">
        <f t="shared" si="179"/>
        <v>3000</v>
      </c>
      <c r="K282" s="532">
        <f t="shared" si="179"/>
        <v>22603.5</v>
      </c>
      <c r="L282" s="384">
        <f t="shared" ref="L282:L284" si="180">AVERAGE(J282/H282*100)</f>
        <v>100</v>
      </c>
    </row>
    <row r="283" spans="1:12" s="390" customFormat="1" ht="14.4" thickBot="1" x14ac:dyDescent="0.3">
      <c r="A283" s="355" t="s">
        <v>552</v>
      </c>
      <c r="B283" s="453"/>
      <c r="C283" s="399">
        <v>3811</v>
      </c>
      <c r="D283" s="370" t="s">
        <v>228</v>
      </c>
      <c r="E283" s="361">
        <v>6000</v>
      </c>
      <c r="F283" s="361">
        <v>15000</v>
      </c>
      <c r="G283" s="363">
        <f>F283/7.5345</f>
        <v>1990.8421262193906</v>
      </c>
      <c r="H283" s="363">
        <v>3000</v>
      </c>
      <c r="I283" s="363">
        <v>0</v>
      </c>
      <c r="J283" s="363">
        <f>SUM(H283+I283)</f>
        <v>3000</v>
      </c>
      <c r="K283" s="532">
        <f>J283*7.5345</f>
        <v>22603.5</v>
      </c>
      <c r="L283" s="384">
        <f t="shared" si="180"/>
        <v>100</v>
      </c>
    </row>
    <row r="284" spans="1:12" s="97" customFormat="1" ht="18.600000000000001" thickTop="1" thickBot="1" x14ac:dyDescent="0.35">
      <c r="A284" s="876" t="s">
        <v>620</v>
      </c>
      <c r="B284" s="877"/>
      <c r="C284" s="877"/>
      <c r="D284" s="878"/>
      <c r="E284" s="544">
        <v>40000</v>
      </c>
      <c r="F284" s="544">
        <f t="shared" ref="F284:H284" si="181">SUM(F287+F293)</f>
        <v>240000</v>
      </c>
      <c r="G284" s="544">
        <f t="shared" si="181"/>
        <v>31853.474019510253</v>
      </c>
      <c r="H284" s="544">
        <f t="shared" si="181"/>
        <v>46700</v>
      </c>
      <c r="I284" s="544">
        <f t="shared" ref="I284:K284" si="182">SUM(I287+I293)</f>
        <v>-8000</v>
      </c>
      <c r="J284" s="544">
        <f t="shared" si="182"/>
        <v>38700</v>
      </c>
      <c r="K284" s="549">
        <f t="shared" si="182"/>
        <v>291585.15000000002</v>
      </c>
      <c r="L284" s="544">
        <f t="shared" si="180"/>
        <v>82.869379014989292</v>
      </c>
    </row>
    <row r="285" spans="1:12" s="28" customFormat="1" ht="13.8" x14ac:dyDescent="0.25">
      <c r="A285" s="401"/>
      <c r="B285" s="40"/>
      <c r="C285" s="40"/>
      <c r="D285" s="396" t="s">
        <v>240</v>
      </c>
      <c r="E285" s="373"/>
      <c r="F285" s="372"/>
      <c r="G285" s="372"/>
      <c r="H285" s="372"/>
      <c r="I285" s="372"/>
      <c r="J285" s="372"/>
      <c r="K285" s="529"/>
      <c r="L285" s="861">
        <f>AVERAGE(J287/H287*100)</f>
        <v>100</v>
      </c>
    </row>
    <row r="286" spans="1:12" ht="13.8" x14ac:dyDescent="0.25">
      <c r="A286" s="401"/>
      <c r="B286" s="40"/>
      <c r="C286" s="40"/>
      <c r="D286" s="395" t="s">
        <v>658</v>
      </c>
      <c r="E286" s="363"/>
      <c r="F286" s="372"/>
      <c r="G286" s="372"/>
      <c r="H286" s="372"/>
      <c r="I286" s="372"/>
      <c r="J286" s="372"/>
      <c r="K286" s="529"/>
      <c r="L286" s="850"/>
    </row>
    <row r="287" spans="1:12" ht="15.6" x14ac:dyDescent="0.3">
      <c r="A287" s="425"/>
      <c r="B287" s="452"/>
      <c r="C287" s="97"/>
      <c r="D287" s="429" t="s">
        <v>435</v>
      </c>
      <c r="E287" s="426">
        <v>40000</v>
      </c>
      <c r="F287" s="424">
        <f t="shared" ref="F287:K289" si="183">SUM(F288)</f>
        <v>140000</v>
      </c>
      <c r="G287" s="424">
        <f t="shared" si="183"/>
        <v>18581.193178047648</v>
      </c>
      <c r="H287" s="424">
        <f t="shared" si="183"/>
        <v>33700</v>
      </c>
      <c r="I287" s="424">
        <f t="shared" si="183"/>
        <v>0</v>
      </c>
      <c r="J287" s="424">
        <f t="shared" si="183"/>
        <v>33700</v>
      </c>
      <c r="K287" s="530">
        <f t="shared" si="183"/>
        <v>253912.65000000002</v>
      </c>
      <c r="L287" s="851"/>
    </row>
    <row r="288" spans="1:12" s="28" customFormat="1" ht="13.8" x14ac:dyDescent="0.25">
      <c r="A288" s="358" t="s">
        <v>553</v>
      </c>
      <c r="B288" s="447"/>
      <c r="C288" s="354">
        <v>32</v>
      </c>
      <c r="D288" s="365" t="s">
        <v>180</v>
      </c>
      <c r="E288" s="362">
        <v>40000</v>
      </c>
      <c r="F288" s="362">
        <f t="shared" si="183"/>
        <v>140000</v>
      </c>
      <c r="G288" s="362">
        <f t="shared" si="183"/>
        <v>18581.193178047648</v>
      </c>
      <c r="H288" s="362">
        <f t="shared" si="183"/>
        <v>33700</v>
      </c>
      <c r="I288" s="362">
        <f t="shared" si="183"/>
        <v>0</v>
      </c>
      <c r="J288" s="362">
        <f t="shared" si="183"/>
        <v>33700</v>
      </c>
      <c r="K288" s="533">
        <f t="shared" si="183"/>
        <v>253912.65000000002</v>
      </c>
      <c r="L288" s="734">
        <f>AVERAGE(J288/H288*100)</f>
        <v>100</v>
      </c>
    </row>
    <row r="289" spans="1:12" ht="13.8" x14ac:dyDescent="0.25">
      <c r="A289" s="355" t="s">
        <v>553</v>
      </c>
      <c r="B289" s="446"/>
      <c r="C289" s="367">
        <v>323</v>
      </c>
      <c r="D289" s="368" t="s">
        <v>56</v>
      </c>
      <c r="E289" s="363">
        <v>40000</v>
      </c>
      <c r="F289" s="363">
        <f t="shared" si="183"/>
        <v>140000</v>
      </c>
      <c r="G289" s="363">
        <f t="shared" si="183"/>
        <v>18581.193178047648</v>
      </c>
      <c r="H289" s="363">
        <f t="shared" si="183"/>
        <v>33700</v>
      </c>
      <c r="I289" s="363">
        <f t="shared" si="183"/>
        <v>0</v>
      </c>
      <c r="J289" s="363">
        <f t="shared" si="183"/>
        <v>33700</v>
      </c>
      <c r="K289" s="532">
        <f t="shared" si="183"/>
        <v>253912.65000000002</v>
      </c>
      <c r="L289" s="384">
        <f t="shared" ref="L289:L290" si="184">AVERAGE(J289/H289*100)</f>
        <v>100</v>
      </c>
    </row>
    <row r="290" spans="1:12" ht="14.4" customHeight="1" thickBot="1" x14ac:dyDescent="0.3">
      <c r="A290" s="404" t="s">
        <v>553</v>
      </c>
      <c r="B290" s="448"/>
      <c r="C290" s="386">
        <v>3234</v>
      </c>
      <c r="D290" s="387" t="s">
        <v>60</v>
      </c>
      <c r="E290" s="388">
        <v>40000</v>
      </c>
      <c r="F290" s="388">
        <v>140000</v>
      </c>
      <c r="G290" s="388">
        <f>F290/7.5345</f>
        <v>18581.193178047648</v>
      </c>
      <c r="H290" s="388">
        <v>33700</v>
      </c>
      <c r="I290" s="388">
        <v>0</v>
      </c>
      <c r="J290" s="388">
        <f>SUM(H290+I290)</f>
        <v>33700</v>
      </c>
      <c r="K290" s="534">
        <f>J290*7.5345</f>
        <v>253912.65000000002</v>
      </c>
      <c r="L290" s="384">
        <f t="shared" si="184"/>
        <v>100</v>
      </c>
    </row>
    <row r="291" spans="1:12" s="416" customFormat="1" ht="18" customHeight="1" thickTop="1" x14ac:dyDescent="0.3">
      <c r="A291" s="401"/>
      <c r="B291" s="451"/>
      <c r="C291" s="40"/>
      <c r="D291" s="396" t="s">
        <v>240</v>
      </c>
      <c r="E291" s="373"/>
      <c r="F291" s="372"/>
      <c r="G291" s="372"/>
      <c r="H291" s="372"/>
      <c r="I291" s="372"/>
      <c r="J291" s="372"/>
      <c r="K291" s="529"/>
      <c r="L291" s="858">
        <f>AVERAGE(J293/H293*100)</f>
        <v>38.461538461538467</v>
      </c>
    </row>
    <row r="292" spans="1:12" ht="15" customHeight="1" x14ac:dyDescent="0.25">
      <c r="A292" s="401"/>
      <c r="B292" s="451"/>
      <c r="C292" s="40"/>
      <c r="D292" s="395" t="s">
        <v>658</v>
      </c>
      <c r="E292" s="363"/>
      <c r="F292" s="372"/>
      <c r="G292" s="372"/>
      <c r="H292" s="372"/>
      <c r="I292" s="372"/>
      <c r="J292" s="372"/>
      <c r="K292" s="529"/>
      <c r="L292" s="859"/>
    </row>
    <row r="293" spans="1:12" s="210" customFormat="1" ht="31.2" x14ac:dyDescent="0.3">
      <c r="A293" s="425"/>
      <c r="B293" s="452"/>
      <c r="C293" s="97"/>
      <c r="D293" s="429" t="s">
        <v>469</v>
      </c>
      <c r="E293" s="426">
        <v>0</v>
      </c>
      <c r="F293" s="424">
        <f t="shared" ref="F293:K293" si="185">SUM(F294)</f>
        <v>100000</v>
      </c>
      <c r="G293" s="424">
        <f t="shared" si="185"/>
        <v>13272.280841462605</v>
      </c>
      <c r="H293" s="602">
        <f t="shared" si="185"/>
        <v>13000</v>
      </c>
      <c r="I293" s="602">
        <f t="shared" si="185"/>
        <v>-8000</v>
      </c>
      <c r="J293" s="602">
        <f t="shared" si="185"/>
        <v>5000</v>
      </c>
      <c r="K293" s="530">
        <f t="shared" si="185"/>
        <v>37672.5</v>
      </c>
      <c r="L293" s="860"/>
    </row>
    <row r="294" spans="1:12" s="97" customFormat="1" ht="15.6" x14ac:dyDescent="0.3">
      <c r="A294" s="358" t="s">
        <v>554</v>
      </c>
      <c r="B294" s="447"/>
      <c r="C294" s="354">
        <v>32</v>
      </c>
      <c r="D294" s="365" t="s">
        <v>180</v>
      </c>
      <c r="E294" s="362">
        <v>0</v>
      </c>
      <c r="F294" s="362">
        <f t="shared" ref="F294:K294" si="186">SUM(F295)</f>
        <v>100000</v>
      </c>
      <c r="G294" s="362">
        <f t="shared" si="186"/>
        <v>13272.280841462605</v>
      </c>
      <c r="H294" s="362">
        <f t="shared" si="186"/>
        <v>13000</v>
      </c>
      <c r="I294" s="362">
        <f t="shared" si="186"/>
        <v>-8000</v>
      </c>
      <c r="J294" s="362">
        <f t="shared" si="186"/>
        <v>5000</v>
      </c>
      <c r="K294" s="533">
        <f t="shared" si="186"/>
        <v>37672.5</v>
      </c>
      <c r="L294" s="384">
        <f>AVERAGE(J294/H294*100)</f>
        <v>38.461538461538467</v>
      </c>
    </row>
    <row r="295" spans="1:12" s="28" customFormat="1" ht="13.8" x14ac:dyDescent="0.25">
      <c r="A295" s="355" t="s">
        <v>554</v>
      </c>
      <c r="B295" s="446"/>
      <c r="C295" s="367">
        <v>322</v>
      </c>
      <c r="D295" s="368" t="s">
        <v>52</v>
      </c>
      <c r="E295" s="363">
        <v>0</v>
      </c>
      <c r="F295" s="363">
        <f t="shared" ref="F295:K295" si="187">SUM(F296)</f>
        <v>100000</v>
      </c>
      <c r="G295" s="363">
        <f t="shared" si="187"/>
        <v>13272.280841462605</v>
      </c>
      <c r="H295" s="363">
        <f t="shared" si="187"/>
        <v>13000</v>
      </c>
      <c r="I295" s="363">
        <f t="shared" si="187"/>
        <v>-8000</v>
      </c>
      <c r="J295" s="363">
        <f t="shared" si="187"/>
        <v>5000</v>
      </c>
      <c r="K295" s="532">
        <f t="shared" si="187"/>
        <v>37672.5</v>
      </c>
      <c r="L295" s="384">
        <f t="shared" ref="L295:L296" si="188">AVERAGE(J295/H295*100)</f>
        <v>38.461538461538467</v>
      </c>
    </row>
    <row r="296" spans="1:12" ht="14.4" thickBot="1" x14ac:dyDescent="0.3">
      <c r="A296" s="355" t="s">
        <v>554</v>
      </c>
      <c r="B296" s="446"/>
      <c r="C296" s="367">
        <v>3225</v>
      </c>
      <c r="D296" s="368" t="s">
        <v>190</v>
      </c>
      <c r="E296" s="363">
        <v>0</v>
      </c>
      <c r="F296" s="363">
        <v>100000</v>
      </c>
      <c r="G296" s="363">
        <f>F296/7.5345</f>
        <v>13272.280841462605</v>
      </c>
      <c r="H296" s="363">
        <v>13000</v>
      </c>
      <c r="I296" s="363">
        <v>-8000</v>
      </c>
      <c r="J296" s="363">
        <f>SUM(H296+I296)</f>
        <v>5000</v>
      </c>
      <c r="K296" s="532">
        <f>J296*7.5345</f>
        <v>37672.5</v>
      </c>
      <c r="L296" s="384">
        <f t="shared" si="188"/>
        <v>38.461538461538467</v>
      </c>
    </row>
    <row r="297" spans="1:12" ht="18" thickBot="1" x14ac:dyDescent="0.3">
      <c r="A297" s="876" t="s">
        <v>621</v>
      </c>
      <c r="B297" s="877"/>
      <c r="C297" s="877"/>
      <c r="D297" s="878"/>
      <c r="E297" s="544">
        <f>SUM(E300+E308+E318+E324+E330+E336+E342+E348)</f>
        <v>1830000</v>
      </c>
      <c r="F297" s="544" t="e">
        <f>SUM(F300+F308+F318+#REF!+#REF!+F324+F330+F336+F342+F348+F354+#REF!+F362+F372+F379)</f>
        <v>#REF!</v>
      </c>
      <c r="G297" s="544" t="e">
        <f>SUM(G300+G308+G318+#REF!+#REF!+G324+G330+G336+G342+G348+G354+#REF!+G362+G372+G379)</f>
        <v>#REF!</v>
      </c>
      <c r="H297" s="544">
        <f>SUM(H300+H308+H318+H324+H330+H336+H342+H348+H354+H362+H372+H379)</f>
        <v>376400</v>
      </c>
      <c r="I297" s="544">
        <f>SUM(I300+I308+I318+I324+I330+I336+I342+I348+I354+I362+I372+I379)</f>
        <v>-58000</v>
      </c>
      <c r="J297" s="544">
        <f>SUM(J300+J308+J318+J324+J330+J336+J342+J348+J354+J362+J372+J379)</f>
        <v>318400</v>
      </c>
      <c r="K297" s="549" t="e">
        <f>SUM(K300+K308+K318+#REF!+#REF!+K324+K330+K336+K342+K348+K354+#REF!+K362+K372+K379)</f>
        <v>#REF!</v>
      </c>
      <c r="L297" s="544">
        <f>AVERAGE(J297/H297*100)</f>
        <v>84.590860786397442</v>
      </c>
    </row>
    <row r="298" spans="1:12" s="390" customFormat="1" ht="28.2" thickBot="1" x14ac:dyDescent="0.3">
      <c r="A298" s="401"/>
      <c r="B298" s="40"/>
      <c r="C298" s="40"/>
      <c r="D298" s="396" t="s">
        <v>406</v>
      </c>
      <c r="E298" s="373"/>
      <c r="F298" s="372"/>
      <c r="G298" s="372"/>
      <c r="H298" s="372"/>
      <c r="I298" s="372"/>
      <c r="J298" s="372"/>
      <c r="K298" s="529"/>
      <c r="L298" s="861">
        <f>AVERAGE(J300/H300*100)</f>
        <v>100</v>
      </c>
    </row>
    <row r="299" spans="1:12" s="97" customFormat="1" ht="16.2" thickTop="1" x14ac:dyDescent="0.3">
      <c r="A299" s="401"/>
      <c r="B299" s="40"/>
      <c r="C299" s="40"/>
      <c r="D299" s="395" t="s">
        <v>651</v>
      </c>
      <c r="E299" s="363"/>
      <c r="F299" s="372"/>
      <c r="G299" s="372"/>
      <c r="H299" s="372"/>
      <c r="I299" s="372"/>
      <c r="J299" s="372"/>
      <c r="K299" s="529"/>
      <c r="L299" s="850"/>
    </row>
    <row r="300" spans="1:12" s="28" customFormat="1" ht="15.6" x14ac:dyDescent="0.3">
      <c r="A300" s="425"/>
      <c r="B300" s="97"/>
      <c r="C300" s="97"/>
      <c r="D300" s="429" t="s">
        <v>436</v>
      </c>
      <c r="E300" s="426">
        <v>390000</v>
      </c>
      <c r="F300" s="424">
        <f t="shared" ref="F300:K300" si="189">SUM(F301)</f>
        <v>170000</v>
      </c>
      <c r="G300" s="424">
        <f t="shared" si="189"/>
        <v>22562.877430486427</v>
      </c>
      <c r="H300" s="424">
        <f t="shared" si="189"/>
        <v>24000</v>
      </c>
      <c r="I300" s="424">
        <f t="shared" si="189"/>
        <v>0</v>
      </c>
      <c r="J300" s="424">
        <f t="shared" si="189"/>
        <v>24000</v>
      </c>
      <c r="K300" s="530">
        <f t="shared" si="189"/>
        <v>180828</v>
      </c>
      <c r="L300" s="851"/>
    </row>
    <row r="301" spans="1:12" ht="13.8" x14ac:dyDescent="0.25">
      <c r="A301" s="358" t="s">
        <v>459</v>
      </c>
      <c r="B301" s="447"/>
      <c r="C301" s="354">
        <v>32</v>
      </c>
      <c r="D301" s="365" t="s">
        <v>180</v>
      </c>
      <c r="E301" s="362">
        <v>390000</v>
      </c>
      <c r="F301" s="362">
        <f t="shared" ref="F301:J301" si="190">SUM(F302+F304)</f>
        <v>170000</v>
      </c>
      <c r="G301" s="362">
        <f t="shared" si="190"/>
        <v>22562.877430486427</v>
      </c>
      <c r="H301" s="362">
        <f t="shared" si="190"/>
        <v>24000</v>
      </c>
      <c r="I301" s="362">
        <f t="shared" si="190"/>
        <v>0</v>
      </c>
      <c r="J301" s="362">
        <f t="shared" si="190"/>
        <v>24000</v>
      </c>
      <c r="K301" s="533">
        <f t="shared" ref="K301" si="191">SUM(K302+K304)</f>
        <v>180828</v>
      </c>
      <c r="L301" s="734">
        <f>AVERAGE(J301/H301*100)</f>
        <v>100</v>
      </c>
    </row>
    <row r="302" spans="1:12" ht="13.8" x14ac:dyDescent="0.25">
      <c r="A302" s="355" t="s">
        <v>459</v>
      </c>
      <c r="B302" s="446"/>
      <c r="C302" s="367">
        <v>322</v>
      </c>
      <c r="D302" s="368" t="s">
        <v>52</v>
      </c>
      <c r="E302" s="363">
        <v>250000</v>
      </c>
      <c r="F302" s="363">
        <f t="shared" ref="F302:K302" si="192">SUM(F303)</f>
        <v>120000</v>
      </c>
      <c r="G302" s="363">
        <f t="shared" si="192"/>
        <v>15926.737009755125</v>
      </c>
      <c r="H302" s="363">
        <f t="shared" si="192"/>
        <v>16000</v>
      </c>
      <c r="I302" s="363">
        <f t="shared" si="192"/>
        <v>0</v>
      </c>
      <c r="J302" s="363">
        <f t="shared" si="192"/>
        <v>16000</v>
      </c>
      <c r="K302" s="532">
        <f t="shared" si="192"/>
        <v>120552</v>
      </c>
      <c r="L302" s="384">
        <f t="shared" ref="L302:L305" si="193">AVERAGE(J302/H302*100)</f>
        <v>100</v>
      </c>
    </row>
    <row r="303" spans="1:12" ht="13.8" x14ac:dyDescent="0.25">
      <c r="A303" s="355" t="s">
        <v>459</v>
      </c>
      <c r="B303" s="446"/>
      <c r="C303" s="367">
        <v>3223</v>
      </c>
      <c r="D303" s="368" t="s">
        <v>54</v>
      </c>
      <c r="E303" s="363">
        <v>250000</v>
      </c>
      <c r="F303" s="363">
        <v>120000</v>
      </c>
      <c r="G303" s="363">
        <f>F303/7.5345</f>
        <v>15926.737009755125</v>
      </c>
      <c r="H303" s="363">
        <v>16000</v>
      </c>
      <c r="I303" s="363">
        <v>0</v>
      </c>
      <c r="J303" s="363">
        <f>SUM(H303+I303)</f>
        <v>16000</v>
      </c>
      <c r="K303" s="532">
        <f>J303*7.5345</f>
        <v>120552</v>
      </c>
      <c r="L303" s="384">
        <f t="shared" si="193"/>
        <v>100</v>
      </c>
    </row>
    <row r="304" spans="1:12" s="28" customFormat="1" ht="13.8" x14ac:dyDescent="0.25">
      <c r="A304" s="355" t="s">
        <v>459</v>
      </c>
      <c r="B304" s="446"/>
      <c r="C304" s="367">
        <v>323</v>
      </c>
      <c r="D304" s="368" t="s">
        <v>56</v>
      </c>
      <c r="E304" s="363">
        <v>140000</v>
      </c>
      <c r="F304" s="363">
        <f t="shared" ref="F304:K304" si="194">SUM(F305)</f>
        <v>50000</v>
      </c>
      <c r="G304" s="363">
        <f t="shared" si="194"/>
        <v>6636.1404207313026</v>
      </c>
      <c r="H304" s="363">
        <f t="shared" si="194"/>
        <v>8000</v>
      </c>
      <c r="I304" s="363">
        <f t="shared" si="194"/>
        <v>0</v>
      </c>
      <c r="J304" s="363">
        <f t="shared" si="194"/>
        <v>8000</v>
      </c>
      <c r="K304" s="532">
        <f t="shared" si="194"/>
        <v>60276</v>
      </c>
      <c r="L304" s="384">
        <f t="shared" si="193"/>
        <v>100</v>
      </c>
    </row>
    <row r="305" spans="1:12" s="390" customFormat="1" ht="14.4" thickBot="1" x14ac:dyDescent="0.3">
      <c r="A305" s="404" t="s">
        <v>459</v>
      </c>
      <c r="B305" s="448"/>
      <c r="C305" s="386">
        <v>3232</v>
      </c>
      <c r="D305" s="387" t="s">
        <v>242</v>
      </c>
      <c r="E305" s="388">
        <v>140000</v>
      </c>
      <c r="F305" s="388">
        <v>50000</v>
      </c>
      <c r="G305" s="388">
        <f>F305/7.5345</f>
        <v>6636.1404207313026</v>
      </c>
      <c r="H305" s="388">
        <v>8000</v>
      </c>
      <c r="I305" s="388">
        <v>0</v>
      </c>
      <c r="J305" s="388">
        <f>SUM(H305+I305)</f>
        <v>8000</v>
      </c>
      <c r="K305" s="534">
        <f>J305*7.5345</f>
        <v>60276</v>
      </c>
      <c r="L305" s="384">
        <f t="shared" si="193"/>
        <v>100</v>
      </c>
    </row>
    <row r="306" spans="1:12" ht="28.2" thickTop="1" x14ac:dyDescent="0.25">
      <c r="A306" s="401"/>
      <c r="B306" s="451"/>
      <c r="C306" s="40"/>
      <c r="D306" s="396" t="s">
        <v>406</v>
      </c>
      <c r="E306" s="373"/>
      <c r="F306" s="372"/>
      <c r="G306" s="372"/>
      <c r="H306" s="372" t="s">
        <v>603</v>
      </c>
      <c r="I306" s="372"/>
      <c r="J306" s="372"/>
      <c r="K306" s="529"/>
      <c r="L306" s="849">
        <f>AVERAGE(J308/H308*100)</f>
        <v>100</v>
      </c>
    </row>
    <row r="307" spans="1:12" ht="13.8" x14ac:dyDescent="0.25">
      <c r="A307" s="401"/>
      <c r="B307" s="451"/>
      <c r="C307" s="40"/>
      <c r="D307" s="395" t="s">
        <v>663</v>
      </c>
      <c r="E307" s="363"/>
      <c r="F307" s="372"/>
      <c r="G307" s="372"/>
      <c r="H307" s="372"/>
      <c r="I307" s="372"/>
      <c r="J307" s="372"/>
      <c r="K307" s="529"/>
      <c r="L307" s="850"/>
    </row>
    <row r="308" spans="1:12" ht="31.2" x14ac:dyDescent="0.3">
      <c r="A308" s="425"/>
      <c r="B308" s="452"/>
      <c r="C308" s="97"/>
      <c r="D308" s="429" t="s">
        <v>605</v>
      </c>
      <c r="E308" s="426">
        <v>30000</v>
      </c>
      <c r="F308" s="424">
        <f t="shared" ref="F308:J308" si="195">SUM(F309+F313)</f>
        <v>45000</v>
      </c>
      <c r="G308" s="424">
        <f t="shared" si="195"/>
        <v>5972.5263786581727</v>
      </c>
      <c r="H308" s="424">
        <f t="shared" si="195"/>
        <v>12000</v>
      </c>
      <c r="I308" s="424">
        <f t="shared" si="195"/>
        <v>0</v>
      </c>
      <c r="J308" s="424">
        <f t="shared" si="195"/>
        <v>12000</v>
      </c>
      <c r="K308" s="530">
        <f t="shared" ref="K308" si="196">SUM(K309+K313)</f>
        <v>90414</v>
      </c>
      <c r="L308" s="851"/>
    </row>
    <row r="309" spans="1:12" s="97" customFormat="1" ht="15.6" x14ac:dyDescent="0.3">
      <c r="A309" s="358" t="s">
        <v>460</v>
      </c>
      <c r="B309" s="447"/>
      <c r="C309" s="354">
        <v>32</v>
      </c>
      <c r="D309" s="365" t="s">
        <v>180</v>
      </c>
      <c r="E309" s="362">
        <v>30000</v>
      </c>
      <c r="F309" s="362">
        <f t="shared" ref="F309:K309" si="197">SUM(F310)</f>
        <v>45000</v>
      </c>
      <c r="G309" s="362">
        <f t="shared" si="197"/>
        <v>5972.5263786581727</v>
      </c>
      <c r="H309" s="362">
        <f t="shared" si="197"/>
        <v>12000</v>
      </c>
      <c r="I309" s="362">
        <f t="shared" si="197"/>
        <v>0</v>
      </c>
      <c r="J309" s="362">
        <f t="shared" si="197"/>
        <v>12000</v>
      </c>
      <c r="K309" s="533">
        <f t="shared" si="197"/>
        <v>90414</v>
      </c>
      <c r="L309" s="734">
        <f>AVERAGE(J309/H309*100)</f>
        <v>100</v>
      </c>
    </row>
    <row r="310" spans="1:12" s="28" customFormat="1" ht="13.8" x14ac:dyDescent="0.25">
      <c r="A310" s="355" t="s">
        <v>460</v>
      </c>
      <c r="B310" s="446"/>
      <c r="C310" s="367">
        <v>323</v>
      </c>
      <c r="D310" s="368" t="s">
        <v>56</v>
      </c>
      <c r="E310" s="363">
        <v>30000</v>
      </c>
      <c r="F310" s="363">
        <f t="shared" ref="F310:J310" si="198">SUM(F311:F312)</f>
        <v>45000</v>
      </c>
      <c r="G310" s="363">
        <f t="shared" si="198"/>
        <v>5972.5263786581727</v>
      </c>
      <c r="H310" s="363">
        <f t="shared" si="198"/>
        <v>12000</v>
      </c>
      <c r="I310" s="363">
        <f t="shared" si="198"/>
        <v>0</v>
      </c>
      <c r="J310" s="363">
        <f t="shared" si="198"/>
        <v>12000</v>
      </c>
      <c r="K310" s="532">
        <f t="shared" ref="K310" si="199">SUM(K311:K312)</f>
        <v>90414</v>
      </c>
      <c r="L310" s="384">
        <f t="shared" ref="L310:L312" si="200">AVERAGE(J310/H310*100)</f>
        <v>100</v>
      </c>
    </row>
    <row r="311" spans="1:12" ht="13.8" x14ac:dyDescent="0.25">
      <c r="A311" s="355" t="s">
        <v>460</v>
      </c>
      <c r="B311" s="446"/>
      <c r="C311" s="367">
        <v>3234</v>
      </c>
      <c r="D311" s="368" t="s">
        <v>408</v>
      </c>
      <c r="E311" s="363"/>
      <c r="F311" s="363">
        <v>25000</v>
      </c>
      <c r="G311" s="363">
        <f>F311/7.5345</f>
        <v>3318.0702103656513</v>
      </c>
      <c r="H311" s="363">
        <v>7000</v>
      </c>
      <c r="I311" s="363">
        <v>0</v>
      </c>
      <c r="J311" s="363">
        <f>SUM(H311+I311)</f>
        <v>7000</v>
      </c>
      <c r="K311" s="532">
        <f>J311*7.5345</f>
        <v>52741.5</v>
      </c>
      <c r="L311" s="384">
        <f t="shared" si="200"/>
        <v>100</v>
      </c>
    </row>
    <row r="312" spans="1:12" ht="14.4" thickBot="1" x14ac:dyDescent="0.3">
      <c r="A312" s="404" t="s">
        <v>460</v>
      </c>
      <c r="B312" s="448"/>
      <c r="C312" s="386">
        <v>3232</v>
      </c>
      <c r="D312" s="387" t="s">
        <v>242</v>
      </c>
      <c r="E312" s="388">
        <v>30000</v>
      </c>
      <c r="F312" s="388">
        <v>20000</v>
      </c>
      <c r="G312" s="388">
        <f>F312/7.5345</f>
        <v>2654.4561682925209</v>
      </c>
      <c r="H312" s="388">
        <v>5000</v>
      </c>
      <c r="I312" s="388">
        <v>0</v>
      </c>
      <c r="J312" s="363">
        <f>SUM(H312+I312)</f>
        <v>5000</v>
      </c>
      <c r="K312" s="534">
        <f>J312*7.5345</f>
        <v>37672.5</v>
      </c>
      <c r="L312" s="384">
        <f t="shared" si="200"/>
        <v>100</v>
      </c>
    </row>
    <row r="313" spans="1:12" ht="14.4" hidden="1" thickTop="1" x14ac:dyDescent="0.25">
      <c r="A313" s="439" t="s">
        <v>461</v>
      </c>
      <c r="B313" s="445"/>
      <c r="C313" s="391">
        <v>42</v>
      </c>
      <c r="D313" s="369" t="s">
        <v>250</v>
      </c>
      <c r="E313" s="381">
        <v>66500</v>
      </c>
      <c r="F313" s="531">
        <f t="shared" ref="F313:K314" si="201">SUM(F314)</f>
        <v>0</v>
      </c>
      <c r="G313" s="531">
        <f t="shared" si="201"/>
        <v>0</v>
      </c>
      <c r="H313" s="381">
        <f t="shared" si="201"/>
        <v>0</v>
      </c>
      <c r="I313" s="381">
        <f t="shared" si="201"/>
        <v>0</v>
      </c>
      <c r="J313" s="381">
        <f t="shared" si="201"/>
        <v>0</v>
      </c>
      <c r="K313" s="531">
        <f t="shared" si="201"/>
        <v>0</v>
      </c>
      <c r="L313" s="384" t="e">
        <f>AVERAGE(I313/H313*100)</f>
        <v>#DIV/0!</v>
      </c>
    </row>
    <row r="314" spans="1:12" s="390" customFormat="1" ht="15" hidden="1" thickTop="1" thickBot="1" x14ac:dyDescent="0.3">
      <c r="A314" s="355" t="s">
        <v>461</v>
      </c>
      <c r="B314" s="446"/>
      <c r="C314" s="367">
        <v>421</v>
      </c>
      <c r="D314" s="368" t="s">
        <v>97</v>
      </c>
      <c r="E314" s="363">
        <v>66500</v>
      </c>
      <c r="F314" s="532">
        <f t="shared" si="201"/>
        <v>0</v>
      </c>
      <c r="G314" s="532">
        <f t="shared" si="201"/>
        <v>0</v>
      </c>
      <c r="H314" s="363">
        <f t="shared" si="201"/>
        <v>0</v>
      </c>
      <c r="I314" s="363">
        <f t="shared" si="201"/>
        <v>0</v>
      </c>
      <c r="J314" s="363">
        <f t="shared" si="201"/>
        <v>0</v>
      </c>
      <c r="K314" s="532">
        <f t="shared" si="201"/>
        <v>0</v>
      </c>
      <c r="L314" s="384" t="e">
        <f>AVERAGE(I314/H314*100)</f>
        <v>#DIV/0!</v>
      </c>
    </row>
    <row r="315" spans="1:12" s="97" customFormat="1" ht="16.8" hidden="1" thickTop="1" thickBot="1" x14ac:dyDescent="0.35">
      <c r="A315" s="404" t="s">
        <v>461</v>
      </c>
      <c r="B315" s="448"/>
      <c r="C315" s="386">
        <v>4214</v>
      </c>
      <c r="D315" s="387" t="s">
        <v>411</v>
      </c>
      <c r="E315" s="388">
        <v>66500</v>
      </c>
      <c r="F315" s="534">
        <v>0</v>
      </c>
      <c r="G315" s="534">
        <v>0</v>
      </c>
      <c r="H315" s="388">
        <v>0</v>
      </c>
      <c r="I315" s="388">
        <v>0</v>
      </c>
      <c r="J315" s="388">
        <v>0</v>
      </c>
      <c r="K315" s="534">
        <v>0</v>
      </c>
      <c r="L315" s="384" t="e">
        <f>AVERAGE(I315/H315*100)</f>
        <v>#DIV/0!</v>
      </c>
    </row>
    <row r="316" spans="1:12" s="28" customFormat="1" ht="28.2" thickTop="1" x14ac:dyDescent="0.25">
      <c r="A316" s="401"/>
      <c r="B316" s="451"/>
      <c r="C316" s="40"/>
      <c r="D316" s="396" t="s">
        <v>406</v>
      </c>
      <c r="E316" s="373"/>
      <c r="F316" s="372"/>
      <c r="G316" s="372"/>
      <c r="H316" s="372"/>
      <c r="I316" s="372"/>
      <c r="J316" s="372"/>
      <c r="K316" s="529"/>
      <c r="L316" s="872">
        <f>AVERAGE(J318/H318*100)</f>
        <v>110.00000000000001</v>
      </c>
    </row>
    <row r="317" spans="1:12" ht="13.8" x14ac:dyDescent="0.25">
      <c r="A317" s="401"/>
      <c r="B317" s="451"/>
      <c r="C317" s="40"/>
      <c r="D317" s="395" t="s">
        <v>244</v>
      </c>
      <c r="E317" s="363"/>
      <c r="F317" s="372"/>
      <c r="G317" s="372"/>
      <c r="H317" s="372"/>
      <c r="I317" s="372"/>
      <c r="J317" s="372"/>
      <c r="K317" s="529"/>
      <c r="L317" s="850"/>
    </row>
    <row r="318" spans="1:12" ht="15.6" x14ac:dyDescent="0.3">
      <c r="A318" s="425"/>
      <c r="B318" s="452"/>
      <c r="C318" s="97"/>
      <c r="D318" s="429" t="s">
        <v>437</v>
      </c>
      <c r="E318" s="426">
        <v>350000</v>
      </c>
      <c r="F318" s="424">
        <f t="shared" ref="F318:K320" si="202">SUM(F319)</f>
        <v>215000</v>
      </c>
      <c r="G318" s="424">
        <f t="shared" si="202"/>
        <v>28535.403809144598</v>
      </c>
      <c r="H318" s="424">
        <f>SUM(H319)</f>
        <v>50000</v>
      </c>
      <c r="I318" s="424">
        <f t="shared" ref="I318:J318" si="203">SUM(I319)</f>
        <v>5000</v>
      </c>
      <c r="J318" s="424">
        <f t="shared" si="203"/>
        <v>55000</v>
      </c>
      <c r="K318" s="530">
        <f t="shared" si="202"/>
        <v>414397.5</v>
      </c>
      <c r="L318" s="851"/>
    </row>
    <row r="319" spans="1:12" ht="13.8" x14ac:dyDescent="0.25">
      <c r="A319" s="358" t="s">
        <v>555</v>
      </c>
      <c r="B319" s="447"/>
      <c r="C319" s="354">
        <v>32</v>
      </c>
      <c r="D319" s="365" t="s">
        <v>180</v>
      </c>
      <c r="E319" s="362">
        <v>350000</v>
      </c>
      <c r="F319" s="362">
        <f t="shared" si="202"/>
        <v>215000</v>
      </c>
      <c r="G319" s="362">
        <f t="shared" si="202"/>
        <v>28535.403809144598</v>
      </c>
      <c r="H319" s="362">
        <f t="shared" si="202"/>
        <v>50000</v>
      </c>
      <c r="I319" s="362">
        <f t="shared" si="202"/>
        <v>5000</v>
      </c>
      <c r="J319" s="362">
        <f t="shared" si="202"/>
        <v>55000</v>
      </c>
      <c r="K319" s="533">
        <f t="shared" si="202"/>
        <v>414397.5</v>
      </c>
      <c r="L319" s="734">
        <f>AVERAGE(J319/H319*100)</f>
        <v>110.00000000000001</v>
      </c>
    </row>
    <row r="320" spans="1:12" s="390" customFormat="1" ht="14.4" thickBot="1" x14ac:dyDescent="0.3">
      <c r="A320" s="355" t="s">
        <v>555</v>
      </c>
      <c r="B320" s="446"/>
      <c r="C320" s="367">
        <v>323</v>
      </c>
      <c r="D320" s="368" t="s">
        <v>56</v>
      </c>
      <c r="E320" s="363">
        <v>350000</v>
      </c>
      <c r="F320" s="363">
        <f t="shared" si="202"/>
        <v>215000</v>
      </c>
      <c r="G320" s="363">
        <f t="shared" si="202"/>
        <v>28535.403809144598</v>
      </c>
      <c r="H320" s="363">
        <f>SUM(H321)</f>
        <v>50000</v>
      </c>
      <c r="I320" s="363">
        <f t="shared" si="202"/>
        <v>5000</v>
      </c>
      <c r="J320" s="363">
        <f t="shared" si="202"/>
        <v>55000</v>
      </c>
      <c r="K320" s="532">
        <f t="shared" si="202"/>
        <v>414397.5</v>
      </c>
      <c r="L320" s="384">
        <f t="shared" ref="L320:L321" si="204">AVERAGE(J320/H320*100)</f>
        <v>110.00000000000001</v>
      </c>
    </row>
    <row r="321" spans="1:12" s="538" customFormat="1" ht="16.8" thickTop="1" thickBot="1" x14ac:dyDescent="0.35">
      <c r="A321" s="404" t="s">
        <v>555</v>
      </c>
      <c r="B321" s="448"/>
      <c r="C321" s="386">
        <v>3232</v>
      </c>
      <c r="D321" s="387" t="s">
        <v>242</v>
      </c>
      <c r="E321" s="388">
        <v>350000</v>
      </c>
      <c r="F321" s="388">
        <v>215000</v>
      </c>
      <c r="G321" s="388">
        <f>F321/7.5345</f>
        <v>28535.403809144598</v>
      </c>
      <c r="H321" s="388">
        <v>50000</v>
      </c>
      <c r="I321" s="388">
        <v>5000</v>
      </c>
      <c r="J321" s="388">
        <f>SUM(H321+I321)</f>
        <v>55000</v>
      </c>
      <c r="K321" s="534">
        <f>J321*7.5345</f>
        <v>414397.5</v>
      </c>
      <c r="L321" s="384">
        <f t="shared" si="204"/>
        <v>110.00000000000001</v>
      </c>
    </row>
    <row r="322" spans="1:12" s="28" customFormat="1" ht="28.2" thickTop="1" x14ac:dyDescent="0.25">
      <c r="A322" s="401"/>
      <c r="B322" s="451"/>
      <c r="C322" s="40"/>
      <c r="D322" s="396" t="s">
        <v>406</v>
      </c>
      <c r="E322" s="373"/>
      <c r="F322" s="372"/>
      <c r="G322" s="372"/>
      <c r="H322" s="372"/>
      <c r="I322" s="372"/>
      <c r="J322" s="372"/>
      <c r="K322" s="529"/>
      <c r="L322" s="849">
        <f>AVERAGE(J324/H324*100)</f>
        <v>37.5</v>
      </c>
    </row>
    <row r="323" spans="1:12" ht="13.8" x14ac:dyDescent="0.25">
      <c r="A323" s="401"/>
      <c r="B323" s="451"/>
      <c r="C323" s="40"/>
      <c r="D323" s="395" t="s">
        <v>663</v>
      </c>
      <c r="E323" s="363"/>
      <c r="F323" s="372"/>
      <c r="G323" s="372"/>
      <c r="H323" s="372"/>
      <c r="I323" s="372"/>
      <c r="J323" s="372"/>
      <c r="K323" s="529"/>
      <c r="L323" s="850"/>
    </row>
    <row r="324" spans="1:12" ht="15.6" x14ac:dyDescent="0.3">
      <c r="A324" s="425"/>
      <c r="B324" s="452"/>
      <c r="C324" s="97"/>
      <c r="D324" s="429" t="s">
        <v>627</v>
      </c>
      <c r="E324" s="426">
        <v>750000</v>
      </c>
      <c r="F324" s="424">
        <f t="shared" ref="F324:K326" si="205">SUM(F325)</f>
        <v>400000</v>
      </c>
      <c r="G324" s="424">
        <f t="shared" si="205"/>
        <v>53089.123365850421</v>
      </c>
      <c r="H324" s="424">
        <f t="shared" si="205"/>
        <v>80000</v>
      </c>
      <c r="I324" s="424">
        <f t="shared" si="205"/>
        <v>-50000</v>
      </c>
      <c r="J324" s="424">
        <f t="shared" si="205"/>
        <v>30000</v>
      </c>
      <c r="K324" s="530">
        <f t="shared" si="205"/>
        <v>226035</v>
      </c>
      <c r="L324" s="851"/>
    </row>
    <row r="325" spans="1:12" ht="13.8" x14ac:dyDescent="0.25">
      <c r="A325" s="358" t="s">
        <v>556</v>
      </c>
      <c r="B325" s="447"/>
      <c r="C325" s="354">
        <v>32</v>
      </c>
      <c r="D325" s="365" t="s">
        <v>180</v>
      </c>
      <c r="E325" s="362">
        <v>750000</v>
      </c>
      <c r="F325" s="362">
        <f t="shared" si="205"/>
        <v>400000</v>
      </c>
      <c r="G325" s="362">
        <f t="shared" si="205"/>
        <v>53089.123365850421</v>
      </c>
      <c r="H325" s="362">
        <f t="shared" si="205"/>
        <v>80000</v>
      </c>
      <c r="I325" s="362">
        <f t="shared" si="205"/>
        <v>-50000</v>
      </c>
      <c r="J325" s="362">
        <f t="shared" si="205"/>
        <v>30000</v>
      </c>
      <c r="K325" s="533">
        <f t="shared" si="205"/>
        <v>226035</v>
      </c>
      <c r="L325" s="734">
        <f>AVERAGE(J325/H325*100)</f>
        <v>37.5</v>
      </c>
    </row>
    <row r="326" spans="1:12" s="390" customFormat="1" ht="14.4" thickBot="1" x14ac:dyDescent="0.3">
      <c r="A326" s="355" t="s">
        <v>556</v>
      </c>
      <c r="B326" s="446"/>
      <c r="C326" s="367">
        <v>323</v>
      </c>
      <c r="D326" s="368" t="s">
        <v>56</v>
      </c>
      <c r="E326" s="363">
        <v>750000</v>
      </c>
      <c r="F326" s="363">
        <f t="shared" si="205"/>
        <v>400000</v>
      </c>
      <c r="G326" s="363">
        <f t="shared" si="205"/>
        <v>53089.123365850421</v>
      </c>
      <c r="H326" s="363">
        <f t="shared" si="205"/>
        <v>80000</v>
      </c>
      <c r="I326" s="363">
        <f t="shared" si="205"/>
        <v>-50000</v>
      </c>
      <c r="J326" s="363">
        <f t="shared" si="205"/>
        <v>30000</v>
      </c>
      <c r="K326" s="532">
        <f t="shared" si="205"/>
        <v>226035</v>
      </c>
      <c r="L326" s="384">
        <f t="shared" ref="L326:L327" si="206">AVERAGE(J326/H326*100)</f>
        <v>37.5</v>
      </c>
    </row>
    <row r="327" spans="1:12" s="97" customFormat="1" ht="16.8" thickTop="1" thickBot="1" x14ac:dyDescent="0.35">
      <c r="A327" s="404" t="s">
        <v>556</v>
      </c>
      <c r="B327" s="448"/>
      <c r="C327" s="386">
        <v>3232</v>
      </c>
      <c r="D327" s="387" t="s">
        <v>242</v>
      </c>
      <c r="E327" s="388">
        <v>750000</v>
      </c>
      <c r="F327" s="388">
        <v>400000</v>
      </c>
      <c r="G327" s="388">
        <f>F327/7.5345</f>
        <v>53089.123365850421</v>
      </c>
      <c r="H327" s="388">
        <v>80000</v>
      </c>
      <c r="I327" s="388">
        <v>-50000</v>
      </c>
      <c r="J327" s="388">
        <f>SUM(H327+I327)</f>
        <v>30000</v>
      </c>
      <c r="K327" s="534">
        <f>J327*7.5345</f>
        <v>226035</v>
      </c>
      <c r="L327" s="384">
        <f t="shared" si="206"/>
        <v>37.5</v>
      </c>
    </row>
    <row r="328" spans="1:12" s="28" customFormat="1" ht="28.2" thickTop="1" x14ac:dyDescent="0.25">
      <c r="A328" s="401"/>
      <c r="B328" s="451"/>
      <c r="C328" s="40"/>
      <c r="D328" s="396" t="s">
        <v>406</v>
      </c>
      <c r="E328" s="373"/>
      <c r="F328" s="372"/>
      <c r="G328" s="372"/>
      <c r="H328" s="372"/>
      <c r="I328" s="372"/>
      <c r="J328" s="372"/>
      <c r="K328" s="529"/>
      <c r="L328" s="849">
        <f>AVERAGE(J330/H330*100)</f>
        <v>80</v>
      </c>
    </row>
    <row r="329" spans="1:12" ht="13.8" x14ac:dyDescent="0.25">
      <c r="A329" s="401"/>
      <c r="B329" s="451"/>
      <c r="C329" s="40"/>
      <c r="D329" s="395" t="s">
        <v>663</v>
      </c>
      <c r="E329" s="363"/>
      <c r="F329" s="372"/>
      <c r="G329" s="372"/>
      <c r="H329" s="372"/>
      <c r="I329" s="372"/>
      <c r="J329" s="372"/>
      <c r="K329" s="529"/>
      <c r="L329" s="850"/>
    </row>
    <row r="330" spans="1:12" ht="15.6" x14ac:dyDescent="0.3">
      <c r="A330" s="425"/>
      <c r="B330" s="452"/>
      <c r="C330" s="97"/>
      <c r="D330" s="429" t="s">
        <v>628</v>
      </c>
      <c r="E330" s="426">
        <v>120000</v>
      </c>
      <c r="F330" s="424">
        <f t="shared" ref="F330:K332" si="207">SUM(F331)</f>
        <v>100000</v>
      </c>
      <c r="G330" s="424">
        <f t="shared" si="207"/>
        <v>13272.280841462605</v>
      </c>
      <c r="H330" s="424">
        <f t="shared" si="207"/>
        <v>40000</v>
      </c>
      <c r="I330" s="424">
        <f t="shared" si="207"/>
        <v>-8000</v>
      </c>
      <c r="J330" s="424">
        <f t="shared" si="207"/>
        <v>32000</v>
      </c>
      <c r="K330" s="530">
        <f t="shared" si="207"/>
        <v>241104</v>
      </c>
      <c r="L330" s="851"/>
    </row>
    <row r="331" spans="1:12" ht="13.8" x14ac:dyDescent="0.25">
      <c r="A331" s="358" t="s">
        <v>557</v>
      </c>
      <c r="B331" s="447"/>
      <c r="C331" s="354">
        <v>32</v>
      </c>
      <c r="D331" s="365" t="s">
        <v>180</v>
      </c>
      <c r="E331" s="362">
        <v>120000</v>
      </c>
      <c r="F331" s="362">
        <f t="shared" si="207"/>
        <v>100000</v>
      </c>
      <c r="G331" s="362">
        <f t="shared" si="207"/>
        <v>13272.280841462605</v>
      </c>
      <c r="H331" s="362">
        <f t="shared" si="207"/>
        <v>40000</v>
      </c>
      <c r="I331" s="362">
        <f t="shared" si="207"/>
        <v>-8000</v>
      </c>
      <c r="J331" s="362">
        <f t="shared" si="207"/>
        <v>32000</v>
      </c>
      <c r="K331" s="533">
        <f t="shared" si="207"/>
        <v>241104</v>
      </c>
      <c r="L331" s="734">
        <f>AVERAGE(J331/H331*100)</f>
        <v>80</v>
      </c>
    </row>
    <row r="332" spans="1:12" s="390" customFormat="1" ht="14.4" thickBot="1" x14ac:dyDescent="0.3">
      <c r="A332" s="355" t="s">
        <v>557</v>
      </c>
      <c r="B332" s="446"/>
      <c r="C332" s="367">
        <v>323</v>
      </c>
      <c r="D332" s="368" t="s">
        <v>56</v>
      </c>
      <c r="E332" s="363">
        <v>120000</v>
      </c>
      <c r="F332" s="363">
        <f t="shared" si="207"/>
        <v>100000</v>
      </c>
      <c r="G332" s="363">
        <f t="shared" si="207"/>
        <v>13272.280841462605</v>
      </c>
      <c r="H332" s="363">
        <f t="shared" si="207"/>
        <v>40000</v>
      </c>
      <c r="I332" s="363">
        <f t="shared" si="207"/>
        <v>-8000</v>
      </c>
      <c r="J332" s="363">
        <f t="shared" si="207"/>
        <v>32000</v>
      </c>
      <c r="K332" s="532">
        <f t="shared" si="207"/>
        <v>241104</v>
      </c>
      <c r="L332" s="384">
        <f t="shared" ref="L332:L333" si="208">AVERAGE(J332/H332*100)</f>
        <v>80</v>
      </c>
    </row>
    <row r="333" spans="1:12" s="97" customFormat="1" ht="16.8" thickTop="1" thickBot="1" x14ac:dyDescent="0.35">
      <c r="A333" s="404" t="s">
        <v>557</v>
      </c>
      <c r="B333" s="448"/>
      <c r="C333" s="386">
        <v>3232</v>
      </c>
      <c r="D333" s="387" t="s">
        <v>242</v>
      </c>
      <c r="E333" s="388">
        <v>120000</v>
      </c>
      <c r="F333" s="388">
        <v>100000</v>
      </c>
      <c r="G333" s="388">
        <f>F333/7.5345</f>
        <v>13272.280841462605</v>
      </c>
      <c r="H333" s="388">
        <v>40000</v>
      </c>
      <c r="I333" s="388">
        <v>-8000</v>
      </c>
      <c r="J333" s="388">
        <f>SUM(H333+I333)</f>
        <v>32000</v>
      </c>
      <c r="K333" s="534">
        <f>J333*7.5345</f>
        <v>241104</v>
      </c>
      <c r="L333" s="384">
        <f t="shared" si="208"/>
        <v>80</v>
      </c>
    </row>
    <row r="334" spans="1:12" s="28" customFormat="1" ht="28.2" thickTop="1" x14ac:dyDescent="0.25">
      <c r="A334" s="401"/>
      <c r="B334" s="451"/>
      <c r="C334" s="40"/>
      <c r="D334" s="396" t="s">
        <v>406</v>
      </c>
      <c r="E334" s="373"/>
      <c r="F334" s="372"/>
      <c r="G334" s="372"/>
      <c r="H334" s="372"/>
      <c r="I334" s="372"/>
      <c r="J334" s="372"/>
      <c r="K334" s="529"/>
      <c r="L334" s="849">
        <f>AVERAGE(J336/H336*100)</f>
        <v>100</v>
      </c>
    </row>
    <row r="335" spans="1:12" ht="13.8" x14ac:dyDescent="0.25">
      <c r="A335" s="401"/>
      <c r="B335" s="451"/>
      <c r="C335" s="40"/>
      <c r="D335" s="395" t="s">
        <v>659</v>
      </c>
      <c r="E335" s="363"/>
      <c r="F335" s="372"/>
      <c r="G335" s="372"/>
      <c r="H335" s="372"/>
      <c r="I335" s="372"/>
      <c r="J335" s="372"/>
      <c r="K335" s="529"/>
      <c r="L335" s="850"/>
    </row>
    <row r="336" spans="1:12" ht="15.6" x14ac:dyDescent="0.3">
      <c r="A336" s="425"/>
      <c r="B336" s="452"/>
      <c r="C336" s="97"/>
      <c r="D336" s="429" t="s">
        <v>629</v>
      </c>
      <c r="E336" s="426">
        <v>50000</v>
      </c>
      <c r="F336" s="424">
        <f t="shared" ref="F336:K338" si="209">SUM(F337)</f>
        <v>150000</v>
      </c>
      <c r="G336" s="424">
        <f t="shared" si="209"/>
        <v>19908.421262193908</v>
      </c>
      <c r="H336" s="424">
        <f t="shared" si="209"/>
        <v>20000</v>
      </c>
      <c r="I336" s="424">
        <f t="shared" si="209"/>
        <v>0</v>
      </c>
      <c r="J336" s="424">
        <f t="shared" si="209"/>
        <v>20000</v>
      </c>
      <c r="K336" s="530">
        <f t="shared" si="209"/>
        <v>150690</v>
      </c>
      <c r="L336" s="851"/>
    </row>
    <row r="337" spans="1:12" ht="13.8" x14ac:dyDescent="0.25">
      <c r="A337" s="358" t="s">
        <v>558</v>
      </c>
      <c r="B337" s="447"/>
      <c r="C337" s="354">
        <v>32</v>
      </c>
      <c r="D337" s="365" t="s">
        <v>180</v>
      </c>
      <c r="E337" s="362">
        <v>50000</v>
      </c>
      <c r="F337" s="362">
        <f t="shared" si="209"/>
        <v>150000</v>
      </c>
      <c r="G337" s="362">
        <f t="shared" si="209"/>
        <v>19908.421262193908</v>
      </c>
      <c r="H337" s="362">
        <f t="shared" si="209"/>
        <v>20000</v>
      </c>
      <c r="I337" s="362">
        <f t="shared" si="209"/>
        <v>0</v>
      </c>
      <c r="J337" s="362">
        <f t="shared" si="209"/>
        <v>20000</v>
      </c>
      <c r="K337" s="533">
        <f t="shared" si="209"/>
        <v>150690</v>
      </c>
      <c r="L337" s="734">
        <f>AVERAGE(J337/H337*100)</f>
        <v>100</v>
      </c>
    </row>
    <row r="338" spans="1:12" s="390" customFormat="1" ht="14.4" thickBot="1" x14ac:dyDescent="0.3">
      <c r="A338" s="355" t="s">
        <v>558</v>
      </c>
      <c r="B338" s="446"/>
      <c r="C338" s="367">
        <v>323</v>
      </c>
      <c r="D338" s="368" t="s">
        <v>56</v>
      </c>
      <c r="E338" s="363">
        <v>50000</v>
      </c>
      <c r="F338" s="363">
        <f t="shared" si="209"/>
        <v>150000</v>
      </c>
      <c r="G338" s="363">
        <f t="shared" si="209"/>
        <v>19908.421262193908</v>
      </c>
      <c r="H338" s="363">
        <f t="shared" si="209"/>
        <v>20000</v>
      </c>
      <c r="I338" s="363">
        <f t="shared" si="209"/>
        <v>0</v>
      </c>
      <c r="J338" s="363">
        <f t="shared" si="209"/>
        <v>20000</v>
      </c>
      <c r="K338" s="532">
        <f t="shared" si="209"/>
        <v>150690</v>
      </c>
      <c r="L338" s="384">
        <f t="shared" ref="L338:L339" si="210">AVERAGE(J338/H338*100)</f>
        <v>100</v>
      </c>
    </row>
    <row r="339" spans="1:12" s="97" customFormat="1" ht="16.8" thickTop="1" thickBot="1" x14ac:dyDescent="0.35">
      <c r="A339" s="404" t="s">
        <v>558</v>
      </c>
      <c r="B339" s="448"/>
      <c r="C339" s="386">
        <v>3232</v>
      </c>
      <c r="D339" s="387" t="s">
        <v>242</v>
      </c>
      <c r="E339" s="388">
        <v>50000</v>
      </c>
      <c r="F339" s="388">
        <v>150000</v>
      </c>
      <c r="G339" s="388">
        <f>F339/7.5345</f>
        <v>19908.421262193908</v>
      </c>
      <c r="H339" s="388">
        <v>20000</v>
      </c>
      <c r="I339" s="388">
        <v>0</v>
      </c>
      <c r="J339" s="388">
        <f>SUM(H339+I339)</f>
        <v>20000</v>
      </c>
      <c r="K339" s="534">
        <f>J339*7.5345</f>
        <v>150690</v>
      </c>
      <c r="L339" s="384">
        <f t="shared" si="210"/>
        <v>100</v>
      </c>
    </row>
    <row r="340" spans="1:12" s="28" customFormat="1" ht="28.2" thickTop="1" x14ac:dyDescent="0.25">
      <c r="A340" s="401"/>
      <c r="B340" s="451"/>
      <c r="C340" s="40"/>
      <c r="D340" s="396" t="s">
        <v>406</v>
      </c>
      <c r="E340" s="373"/>
      <c r="F340" s="372"/>
      <c r="G340" s="372"/>
      <c r="H340" s="372"/>
      <c r="I340" s="372"/>
      <c r="J340" s="372"/>
      <c r="K340" s="529"/>
      <c r="L340" s="849">
        <f>AVERAGE(J342/H342*100)</f>
        <v>72.222222222222214</v>
      </c>
    </row>
    <row r="341" spans="1:12" ht="13.8" x14ac:dyDescent="0.25">
      <c r="A341" s="401"/>
      <c r="B341" s="451"/>
      <c r="C341" s="40"/>
      <c r="D341" s="395" t="s">
        <v>659</v>
      </c>
      <c r="E341" s="363"/>
      <c r="F341" s="372"/>
      <c r="G341" s="372"/>
      <c r="H341" s="372"/>
      <c r="I341" s="372"/>
      <c r="J341" s="372"/>
      <c r="K341" s="529"/>
      <c r="L341" s="850"/>
    </row>
    <row r="342" spans="1:12" ht="31.2" x14ac:dyDescent="0.3">
      <c r="A342" s="425"/>
      <c r="B342" s="452"/>
      <c r="C342" s="97"/>
      <c r="D342" s="429" t="s">
        <v>650</v>
      </c>
      <c r="E342" s="426">
        <v>90000</v>
      </c>
      <c r="F342" s="424">
        <f t="shared" ref="F342:K344" si="211">SUM(F343)</f>
        <v>50000</v>
      </c>
      <c r="G342" s="424">
        <f t="shared" si="211"/>
        <v>6636.1404207313026</v>
      </c>
      <c r="H342" s="424">
        <f t="shared" si="211"/>
        <v>18000</v>
      </c>
      <c r="I342" s="424">
        <f t="shared" si="211"/>
        <v>-5000</v>
      </c>
      <c r="J342" s="424">
        <f t="shared" si="211"/>
        <v>13000</v>
      </c>
      <c r="K342" s="530">
        <f t="shared" si="211"/>
        <v>97948.5</v>
      </c>
      <c r="L342" s="851"/>
    </row>
    <row r="343" spans="1:12" ht="13.8" x14ac:dyDescent="0.25">
      <c r="A343" s="358" t="s">
        <v>559</v>
      </c>
      <c r="B343" s="447"/>
      <c r="C343" s="354">
        <v>32</v>
      </c>
      <c r="D343" s="365" t="s">
        <v>180</v>
      </c>
      <c r="E343" s="362">
        <v>90000</v>
      </c>
      <c r="F343" s="362">
        <f t="shared" si="211"/>
        <v>50000</v>
      </c>
      <c r="G343" s="362">
        <f t="shared" si="211"/>
        <v>6636.1404207313026</v>
      </c>
      <c r="H343" s="362">
        <f t="shared" si="211"/>
        <v>18000</v>
      </c>
      <c r="I343" s="362">
        <f t="shared" si="211"/>
        <v>-5000</v>
      </c>
      <c r="J343" s="362">
        <f t="shared" si="211"/>
        <v>13000</v>
      </c>
      <c r="K343" s="533">
        <f t="shared" si="211"/>
        <v>97948.5</v>
      </c>
      <c r="L343" s="734">
        <f>AVERAGE(J343/H343*100)</f>
        <v>72.222222222222214</v>
      </c>
    </row>
    <row r="344" spans="1:12" s="390" customFormat="1" ht="14.4" thickBot="1" x14ac:dyDescent="0.3">
      <c r="A344" s="355" t="s">
        <v>559</v>
      </c>
      <c r="B344" s="446"/>
      <c r="C344" s="367">
        <v>323</v>
      </c>
      <c r="D344" s="368" t="s">
        <v>56</v>
      </c>
      <c r="E344" s="363">
        <v>90000</v>
      </c>
      <c r="F344" s="363">
        <f t="shared" si="211"/>
        <v>50000</v>
      </c>
      <c r="G344" s="363">
        <f t="shared" si="211"/>
        <v>6636.1404207313026</v>
      </c>
      <c r="H344" s="363">
        <f t="shared" si="211"/>
        <v>18000</v>
      </c>
      <c r="I344" s="363">
        <f t="shared" si="211"/>
        <v>-5000</v>
      </c>
      <c r="J344" s="363">
        <f t="shared" si="211"/>
        <v>13000</v>
      </c>
      <c r="K344" s="532">
        <f t="shared" si="211"/>
        <v>97948.5</v>
      </c>
      <c r="L344" s="384">
        <f t="shared" ref="L344:L345" si="212">AVERAGE(J344/H344*100)</f>
        <v>72.222222222222214</v>
      </c>
    </row>
    <row r="345" spans="1:12" s="416" customFormat="1" ht="18.600000000000001" thickTop="1" thickBot="1" x14ac:dyDescent="0.35">
      <c r="A345" s="404" t="s">
        <v>559</v>
      </c>
      <c r="B345" s="448"/>
      <c r="C345" s="386">
        <v>3232</v>
      </c>
      <c r="D345" s="387" t="s">
        <v>242</v>
      </c>
      <c r="E345" s="388">
        <v>90000</v>
      </c>
      <c r="F345" s="388">
        <v>50000</v>
      </c>
      <c r="G345" s="388">
        <f>F345/7.5345</f>
        <v>6636.1404207313026</v>
      </c>
      <c r="H345" s="388">
        <v>18000</v>
      </c>
      <c r="I345" s="388">
        <v>-5000</v>
      </c>
      <c r="J345" s="388">
        <f>SUM(H345+I345)</f>
        <v>13000</v>
      </c>
      <c r="K345" s="534">
        <f>J345*7.5345</f>
        <v>97948.5</v>
      </c>
      <c r="L345" s="384">
        <f t="shared" si="212"/>
        <v>72.222222222222214</v>
      </c>
    </row>
    <row r="346" spans="1:12" ht="28.2" thickTop="1" x14ac:dyDescent="0.25">
      <c r="A346" s="401"/>
      <c r="B346" s="451"/>
      <c r="C346" s="40"/>
      <c r="D346" s="396" t="s">
        <v>406</v>
      </c>
      <c r="E346" s="373"/>
      <c r="F346" s="372"/>
      <c r="G346" s="372"/>
      <c r="H346" s="372"/>
      <c r="I346" s="372"/>
      <c r="J346" s="372"/>
      <c r="K346" s="529"/>
      <c r="L346" s="849">
        <f>AVERAGE(J348/H348*100)</f>
        <v>100</v>
      </c>
    </row>
    <row r="347" spans="1:12" ht="13.8" x14ac:dyDescent="0.25">
      <c r="A347" s="401"/>
      <c r="B347" s="451"/>
      <c r="C347" s="40"/>
      <c r="D347" s="395" t="s">
        <v>664</v>
      </c>
      <c r="E347" s="363"/>
      <c r="F347" s="372"/>
      <c r="G347" s="372"/>
      <c r="H347" s="372"/>
      <c r="I347" s="372"/>
      <c r="J347" s="372"/>
      <c r="K347" s="529"/>
      <c r="L347" s="850"/>
    </row>
    <row r="348" spans="1:12" s="97" customFormat="1" ht="31.2" x14ac:dyDescent="0.3">
      <c r="A348" s="425"/>
      <c r="B348" s="452"/>
      <c r="D348" s="429" t="s">
        <v>630</v>
      </c>
      <c r="E348" s="426">
        <v>50000</v>
      </c>
      <c r="F348" s="424">
        <f t="shared" ref="F348:K350" si="213">SUM(F349)</f>
        <v>5000</v>
      </c>
      <c r="G348" s="424">
        <f t="shared" si="213"/>
        <v>663.61404207313024</v>
      </c>
      <c r="H348" s="424">
        <f t="shared" si="213"/>
        <v>700</v>
      </c>
      <c r="I348" s="424">
        <f t="shared" si="213"/>
        <v>0</v>
      </c>
      <c r="J348" s="424">
        <f t="shared" si="213"/>
        <v>700</v>
      </c>
      <c r="K348" s="530">
        <f t="shared" si="213"/>
        <v>5274.1500000000005</v>
      </c>
      <c r="L348" s="851"/>
    </row>
    <row r="349" spans="1:12" s="28" customFormat="1" ht="13.8" x14ac:dyDescent="0.25">
      <c r="A349" s="358" t="s">
        <v>560</v>
      </c>
      <c r="B349" s="447"/>
      <c r="C349" s="354">
        <v>32</v>
      </c>
      <c r="D349" s="365" t="s">
        <v>180</v>
      </c>
      <c r="E349" s="362">
        <v>50000</v>
      </c>
      <c r="F349" s="362">
        <f t="shared" si="213"/>
        <v>5000</v>
      </c>
      <c r="G349" s="362">
        <f t="shared" si="213"/>
        <v>663.61404207313024</v>
      </c>
      <c r="H349" s="362">
        <f t="shared" si="213"/>
        <v>700</v>
      </c>
      <c r="I349" s="362">
        <f t="shared" si="213"/>
        <v>0</v>
      </c>
      <c r="J349" s="362">
        <f t="shared" si="213"/>
        <v>700</v>
      </c>
      <c r="K349" s="533">
        <f t="shared" si="213"/>
        <v>5274.1500000000005</v>
      </c>
      <c r="L349" s="734">
        <f>AVERAGE(J349/H349*100)</f>
        <v>100</v>
      </c>
    </row>
    <row r="350" spans="1:12" ht="13.8" x14ac:dyDescent="0.25">
      <c r="A350" s="355" t="s">
        <v>560</v>
      </c>
      <c r="B350" s="446"/>
      <c r="C350" s="367">
        <v>323</v>
      </c>
      <c r="D350" s="368" t="s">
        <v>56</v>
      </c>
      <c r="E350" s="363">
        <v>50000</v>
      </c>
      <c r="F350" s="363">
        <f t="shared" si="213"/>
        <v>5000</v>
      </c>
      <c r="G350" s="363">
        <f t="shared" si="213"/>
        <v>663.61404207313024</v>
      </c>
      <c r="H350" s="363">
        <f t="shared" si="213"/>
        <v>700</v>
      </c>
      <c r="I350" s="363">
        <f t="shared" si="213"/>
        <v>0</v>
      </c>
      <c r="J350" s="363">
        <f t="shared" si="213"/>
        <v>700</v>
      </c>
      <c r="K350" s="532">
        <f t="shared" si="213"/>
        <v>5274.1500000000005</v>
      </c>
      <c r="L350" s="384">
        <f t="shared" ref="L350:L351" si="214">AVERAGE(J350/H350*100)</f>
        <v>100</v>
      </c>
    </row>
    <row r="351" spans="1:12" ht="14.4" thickBot="1" x14ac:dyDescent="0.3">
      <c r="A351" s="404" t="s">
        <v>560</v>
      </c>
      <c r="B351" s="448"/>
      <c r="C351" s="386">
        <v>3232</v>
      </c>
      <c r="D351" s="387" t="s">
        <v>242</v>
      </c>
      <c r="E351" s="388">
        <v>50000</v>
      </c>
      <c r="F351" s="388">
        <v>5000</v>
      </c>
      <c r="G351" s="388">
        <f>F351/7.5345</f>
        <v>663.61404207313024</v>
      </c>
      <c r="H351" s="388">
        <v>700</v>
      </c>
      <c r="I351" s="388">
        <v>0</v>
      </c>
      <c r="J351" s="388">
        <f>SUM(H351+I351)</f>
        <v>700</v>
      </c>
      <c r="K351" s="534">
        <f>J351*7.5345</f>
        <v>5274.1500000000005</v>
      </c>
      <c r="L351" s="384">
        <f t="shared" si="214"/>
        <v>100</v>
      </c>
    </row>
    <row r="352" spans="1:12" s="390" customFormat="1" ht="28.8" thickTop="1" thickBot="1" x14ac:dyDescent="0.3">
      <c r="A352" s="652"/>
      <c r="B352" s="672"/>
      <c r="C352" s="654"/>
      <c r="D352" s="644" t="s">
        <v>406</v>
      </c>
      <c r="E352" s="655"/>
      <c r="F352" s="617"/>
      <c r="G352" s="617"/>
      <c r="H352" s="617"/>
      <c r="I352" s="617"/>
      <c r="J352" s="617"/>
      <c r="K352" s="645"/>
      <c r="L352" s="846">
        <f>AVERAGE(J354/H354*100)</f>
        <v>100</v>
      </c>
    </row>
    <row r="353" spans="1:12" s="538" customFormat="1" ht="16.2" thickTop="1" x14ac:dyDescent="0.3">
      <c r="A353" s="652"/>
      <c r="B353" s="672"/>
      <c r="C353" s="654"/>
      <c r="D353" s="665" t="s">
        <v>665</v>
      </c>
      <c r="E353" s="615"/>
      <c r="F353" s="617"/>
      <c r="G353" s="617"/>
      <c r="H353" s="617"/>
      <c r="I353" s="617"/>
      <c r="J353" s="617"/>
      <c r="K353" s="645"/>
      <c r="L353" s="847"/>
    </row>
    <row r="354" spans="1:12" s="539" customFormat="1" ht="31.2" x14ac:dyDescent="0.3">
      <c r="A354" s="656"/>
      <c r="B354" s="668"/>
      <c r="C354" s="658"/>
      <c r="D354" s="616" t="s">
        <v>631</v>
      </c>
      <c r="E354" s="624">
        <v>50000</v>
      </c>
      <c r="F354" s="602">
        <f t="shared" ref="F354:K354" si="215">SUM(F355)</f>
        <v>37000</v>
      </c>
      <c r="G354" s="602">
        <f t="shared" si="215"/>
        <v>4910.7439113411638</v>
      </c>
      <c r="H354" s="602">
        <f>H355</f>
        <v>10000</v>
      </c>
      <c r="I354" s="602">
        <f t="shared" ref="I354:J354" si="216">I355</f>
        <v>0</v>
      </c>
      <c r="J354" s="602">
        <f t="shared" si="216"/>
        <v>10000</v>
      </c>
      <c r="K354" s="660">
        <f t="shared" si="215"/>
        <v>75345</v>
      </c>
      <c r="L354" s="848"/>
    </row>
    <row r="355" spans="1:12" s="540" customFormat="1" ht="13.8" x14ac:dyDescent="0.25">
      <c r="A355" s="673" t="s">
        <v>561</v>
      </c>
      <c r="B355" s="626"/>
      <c r="C355" s="627">
        <v>32</v>
      </c>
      <c r="D355" s="628" t="s">
        <v>180</v>
      </c>
      <c r="E355" s="629">
        <v>50000</v>
      </c>
      <c r="F355" s="629">
        <f t="shared" ref="F355:G355" si="217">SUM(F356+F358)</f>
        <v>37000</v>
      </c>
      <c r="G355" s="629">
        <f t="shared" si="217"/>
        <v>4910.7439113411638</v>
      </c>
      <c r="H355" s="629">
        <f>SUM(H356+H358)</f>
        <v>10000</v>
      </c>
      <c r="I355" s="629">
        <f t="shared" ref="I355:J355" si="218">SUM(I356+I358)</f>
        <v>0</v>
      </c>
      <c r="J355" s="629">
        <f t="shared" si="218"/>
        <v>10000</v>
      </c>
      <c r="K355" s="630">
        <f t="shared" ref="K355" si="219">SUM(K356+K358)</f>
        <v>75345</v>
      </c>
      <c r="L355" s="735">
        <f>AVERAGE(J355/H355*100)</f>
        <v>100</v>
      </c>
    </row>
    <row r="356" spans="1:12" s="540" customFormat="1" ht="13.8" x14ac:dyDescent="0.25">
      <c r="A356" s="674" t="s">
        <v>561</v>
      </c>
      <c r="B356" s="631"/>
      <c r="C356" s="632">
        <v>322</v>
      </c>
      <c r="D356" s="621" t="s">
        <v>52</v>
      </c>
      <c r="E356" s="615">
        <v>50000</v>
      </c>
      <c r="F356" s="615">
        <f t="shared" ref="F356:K356" si="220">SUM(F357)</f>
        <v>30000</v>
      </c>
      <c r="G356" s="615">
        <f t="shared" si="220"/>
        <v>3981.6842524387812</v>
      </c>
      <c r="H356" s="615">
        <f>SUM(H357)</f>
        <v>5000</v>
      </c>
      <c r="I356" s="615">
        <f t="shared" ref="I356:J356" si="221">SUM(I357)</f>
        <v>0</v>
      </c>
      <c r="J356" s="615">
        <f t="shared" si="221"/>
        <v>5000</v>
      </c>
      <c r="K356" s="622">
        <f t="shared" si="220"/>
        <v>37672.5</v>
      </c>
      <c r="L356" s="650">
        <f t="shared" ref="L356:L385" si="222">AVERAGE(J356/H356*100)</f>
        <v>100</v>
      </c>
    </row>
    <row r="357" spans="1:12" s="540" customFormat="1" ht="13.8" x14ac:dyDescent="0.25">
      <c r="A357" s="674" t="s">
        <v>561</v>
      </c>
      <c r="B357" s="631"/>
      <c r="C357" s="632">
        <v>3225</v>
      </c>
      <c r="D357" s="621" t="s">
        <v>190</v>
      </c>
      <c r="E357" s="615">
        <v>50000</v>
      </c>
      <c r="F357" s="615">
        <v>30000</v>
      </c>
      <c r="G357" s="615">
        <f>F357/7.5345</f>
        <v>3981.6842524387812</v>
      </c>
      <c r="H357" s="615">
        <v>5000</v>
      </c>
      <c r="I357" s="615">
        <v>0</v>
      </c>
      <c r="J357" s="615">
        <f>SUM(H357+I357)</f>
        <v>5000</v>
      </c>
      <c r="K357" s="622">
        <f>J357*7.5345</f>
        <v>37672.5</v>
      </c>
      <c r="L357" s="650">
        <f t="shared" si="222"/>
        <v>100</v>
      </c>
    </row>
    <row r="358" spans="1:12" s="540" customFormat="1" ht="13.8" x14ac:dyDescent="0.25">
      <c r="A358" s="674" t="s">
        <v>561</v>
      </c>
      <c r="B358" s="631"/>
      <c r="C358" s="632">
        <v>323</v>
      </c>
      <c r="D358" s="621" t="s">
        <v>56</v>
      </c>
      <c r="E358" s="615">
        <v>50000</v>
      </c>
      <c r="F358" s="615">
        <f t="shared" ref="F358:K358" si="223">SUM(F359)</f>
        <v>7000</v>
      </c>
      <c r="G358" s="615">
        <f t="shared" si="223"/>
        <v>929.05965890238235</v>
      </c>
      <c r="H358" s="615">
        <f t="shared" si="223"/>
        <v>5000</v>
      </c>
      <c r="I358" s="615">
        <f t="shared" si="223"/>
        <v>0</v>
      </c>
      <c r="J358" s="615">
        <f t="shared" si="223"/>
        <v>5000</v>
      </c>
      <c r="K358" s="622">
        <f t="shared" si="223"/>
        <v>37672.5</v>
      </c>
      <c r="L358" s="650">
        <f t="shared" si="222"/>
        <v>100</v>
      </c>
    </row>
    <row r="359" spans="1:12" s="97" customFormat="1" ht="16.2" thickBot="1" x14ac:dyDescent="0.35">
      <c r="A359" s="647" t="s">
        <v>561</v>
      </c>
      <c r="B359" s="639"/>
      <c r="C359" s="640">
        <v>3239</v>
      </c>
      <c r="D359" s="641" t="s">
        <v>64</v>
      </c>
      <c r="E359" s="642">
        <v>50000</v>
      </c>
      <c r="F359" s="642">
        <v>7000</v>
      </c>
      <c r="G359" s="642">
        <f>F359/7.5345</f>
        <v>929.05965890238235</v>
      </c>
      <c r="H359" s="642">
        <v>5000</v>
      </c>
      <c r="I359" s="642">
        <v>0</v>
      </c>
      <c r="J359" s="642">
        <f>SUM(H359+I359)</f>
        <v>5000</v>
      </c>
      <c r="K359" s="643">
        <f>J359*7.5345</f>
        <v>37672.5</v>
      </c>
      <c r="L359" s="642">
        <f t="shared" si="222"/>
        <v>100</v>
      </c>
    </row>
    <row r="360" spans="1:12" ht="16.5" customHeight="1" thickTop="1" x14ac:dyDescent="0.25">
      <c r="A360" s="401"/>
      <c r="B360" s="451"/>
      <c r="C360" s="40"/>
      <c r="D360" s="396" t="s">
        <v>471</v>
      </c>
      <c r="E360" s="373"/>
      <c r="F360" s="372"/>
      <c r="G360" s="372"/>
      <c r="H360" s="372"/>
      <c r="I360" s="372"/>
      <c r="J360" s="372"/>
      <c r="K360" s="529"/>
      <c r="L360" s="372"/>
    </row>
    <row r="361" spans="1:12" s="4" customFormat="1" ht="30" customHeight="1" x14ac:dyDescent="0.25">
      <c r="A361" s="727"/>
      <c r="B361" s="728"/>
      <c r="C361" s="729"/>
      <c r="D361" s="396" t="s">
        <v>666</v>
      </c>
      <c r="E361" s="730"/>
      <c r="F361" s="731"/>
      <c r="G361" s="731"/>
      <c r="H361" s="731"/>
      <c r="I361" s="731"/>
      <c r="J361" s="731"/>
      <c r="K361" s="732"/>
      <c r="L361" s="731"/>
    </row>
    <row r="362" spans="1:12" s="97" customFormat="1" ht="31.2" x14ac:dyDescent="0.3">
      <c r="A362" s="425"/>
      <c r="B362" s="452"/>
      <c r="D362" s="429" t="s">
        <v>632</v>
      </c>
      <c r="E362" s="426">
        <v>350000</v>
      </c>
      <c r="F362" s="424">
        <f t="shared" ref="F362:G362" si="224">SUM(F363)</f>
        <v>350000</v>
      </c>
      <c r="G362" s="424">
        <f t="shared" si="224"/>
        <v>46452.982945119118</v>
      </c>
      <c r="H362" s="424">
        <f t="shared" ref="H362:K362" si="225">SUM(H363+H367)</f>
        <v>39000</v>
      </c>
      <c r="I362" s="424">
        <f t="shared" si="225"/>
        <v>0</v>
      </c>
      <c r="J362" s="424">
        <f t="shared" si="225"/>
        <v>39000</v>
      </c>
      <c r="K362" s="424">
        <f t="shared" si="225"/>
        <v>301380</v>
      </c>
      <c r="L362" s="735">
        <f t="shared" si="222"/>
        <v>100</v>
      </c>
    </row>
    <row r="363" spans="1:12" s="28" customFormat="1" ht="13.8" x14ac:dyDescent="0.25">
      <c r="A363" s="364" t="s">
        <v>562</v>
      </c>
      <c r="B363" s="447"/>
      <c r="C363" s="354">
        <v>45</v>
      </c>
      <c r="D363" s="365" t="s">
        <v>482</v>
      </c>
      <c r="E363" s="362">
        <v>350000</v>
      </c>
      <c r="F363" s="362">
        <f>SUM(F365)</f>
        <v>350000</v>
      </c>
      <c r="G363" s="362">
        <f>SUM(G365)</f>
        <v>46452.982945119118</v>
      </c>
      <c r="H363" s="362">
        <f>SUM(H364)</f>
        <v>19000</v>
      </c>
      <c r="I363" s="362">
        <f>SUM(I364)</f>
        <v>0</v>
      </c>
      <c r="J363" s="362">
        <f>SUM(J365)</f>
        <v>19000</v>
      </c>
      <c r="K363" s="533">
        <f>SUM(K365)</f>
        <v>150690</v>
      </c>
      <c r="L363" s="650">
        <f t="shared" si="222"/>
        <v>100</v>
      </c>
    </row>
    <row r="364" spans="1:12" ht="13.8" x14ac:dyDescent="0.25">
      <c r="A364" s="366" t="s">
        <v>562</v>
      </c>
      <c r="B364" s="446"/>
      <c r="C364" s="367">
        <v>451</v>
      </c>
      <c r="D364" s="368" t="s">
        <v>586</v>
      </c>
      <c r="E364" s="362"/>
      <c r="F364" s="362"/>
      <c r="G364" s="362"/>
      <c r="H364" s="363">
        <f>SUM(H365+H366)</f>
        <v>19000</v>
      </c>
      <c r="I364" s="363">
        <f>SUM(I365+I366)</f>
        <v>0</v>
      </c>
      <c r="J364" s="363">
        <f t="shared" ref="J364" si="226">SUM(J365)</f>
        <v>19000</v>
      </c>
      <c r="K364" s="533"/>
      <c r="L364" s="650">
        <f t="shared" si="222"/>
        <v>100</v>
      </c>
    </row>
    <row r="365" spans="1:12" ht="13.8" x14ac:dyDescent="0.25">
      <c r="A365" s="366" t="s">
        <v>562</v>
      </c>
      <c r="B365" s="446"/>
      <c r="C365" s="367">
        <v>4511</v>
      </c>
      <c r="D365" s="368" t="s">
        <v>586</v>
      </c>
      <c r="E365" s="363">
        <v>350000</v>
      </c>
      <c r="F365" s="363">
        <f>SUM(F367)</f>
        <v>350000</v>
      </c>
      <c r="G365" s="363">
        <f>SUM(G367)</f>
        <v>46452.982945119118</v>
      </c>
      <c r="H365" s="363">
        <v>19000</v>
      </c>
      <c r="I365" s="363">
        <v>0</v>
      </c>
      <c r="J365" s="363">
        <f>SUM(H365+I365)</f>
        <v>19000</v>
      </c>
      <c r="K365" s="532">
        <f t="shared" ref="K365:K366" si="227">SUM(K367)</f>
        <v>150690</v>
      </c>
      <c r="L365" s="650">
        <f t="shared" si="222"/>
        <v>100</v>
      </c>
    </row>
    <row r="366" spans="1:12" ht="13.8" x14ac:dyDescent="0.25">
      <c r="A366" s="366" t="s">
        <v>562</v>
      </c>
      <c r="B366" s="446"/>
      <c r="C366" s="367">
        <v>4511</v>
      </c>
      <c r="D366" s="368" t="s">
        <v>586</v>
      </c>
      <c r="E366" s="363">
        <v>350000</v>
      </c>
      <c r="F366" s="363">
        <f>SUM(F368)</f>
        <v>0</v>
      </c>
      <c r="G366" s="363">
        <f>SUM(G368)</f>
        <v>0</v>
      </c>
      <c r="H366" s="363">
        <v>0</v>
      </c>
      <c r="I366" s="363">
        <v>0</v>
      </c>
      <c r="J366" s="363">
        <f>SUM(H366+I366)</f>
        <v>0</v>
      </c>
      <c r="K366" s="532">
        <f t="shared" si="227"/>
        <v>0</v>
      </c>
      <c r="L366" s="650" t="e">
        <f t="shared" si="222"/>
        <v>#DIV/0!</v>
      </c>
    </row>
    <row r="367" spans="1:12" s="390" customFormat="1" ht="14.4" thickBot="1" x14ac:dyDescent="0.3">
      <c r="A367" s="623" t="s">
        <v>562</v>
      </c>
      <c r="B367" s="626"/>
      <c r="C367" s="627">
        <v>32</v>
      </c>
      <c r="D367" s="365" t="s">
        <v>47</v>
      </c>
      <c r="E367" s="363">
        <v>350000</v>
      </c>
      <c r="F367" s="363">
        <v>350000</v>
      </c>
      <c r="G367" s="363">
        <f>F367/7.5345</f>
        <v>46452.982945119118</v>
      </c>
      <c r="H367" s="362">
        <f>SUM(H368)</f>
        <v>20000</v>
      </c>
      <c r="I367" s="362">
        <f t="shared" ref="I367:J368" si="228">SUM(I368)</f>
        <v>0</v>
      </c>
      <c r="J367" s="362">
        <f t="shared" si="228"/>
        <v>20000</v>
      </c>
      <c r="K367" s="532">
        <f>J367*7.5345</f>
        <v>150690</v>
      </c>
      <c r="L367" s="735">
        <f t="shared" si="222"/>
        <v>100</v>
      </c>
    </row>
    <row r="368" spans="1:12" s="97" customFormat="1" ht="16.2" thickTop="1" x14ac:dyDescent="0.3">
      <c r="A368" s="623" t="s">
        <v>562</v>
      </c>
      <c r="B368" s="626"/>
      <c r="C368" s="632">
        <v>323</v>
      </c>
      <c r="D368" s="368" t="s">
        <v>585</v>
      </c>
      <c r="E368" s="363"/>
      <c r="F368" s="363"/>
      <c r="G368" s="363"/>
      <c r="H368" s="363">
        <f>SUM(H369)</f>
        <v>20000</v>
      </c>
      <c r="I368" s="363">
        <f t="shared" si="228"/>
        <v>0</v>
      </c>
      <c r="J368" s="363">
        <f t="shared" si="228"/>
        <v>20000</v>
      </c>
      <c r="K368" s="532"/>
      <c r="L368" s="650">
        <f t="shared" si="222"/>
        <v>100</v>
      </c>
    </row>
    <row r="369" spans="1:12" s="28" customFormat="1" ht="14.4" thickBot="1" x14ac:dyDescent="0.3">
      <c r="A369" s="675" t="s">
        <v>562</v>
      </c>
      <c r="B369" s="639"/>
      <c r="C369" s="640">
        <v>3237</v>
      </c>
      <c r="D369" s="387" t="s">
        <v>584</v>
      </c>
      <c r="E369" s="388"/>
      <c r="F369" s="388"/>
      <c r="G369" s="388"/>
      <c r="H369" s="388">
        <v>20000</v>
      </c>
      <c r="I369" s="388">
        <v>0</v>
      </c>
      <c r="J369" s="388">
        <f>SUM(H369+I369)</f>
        <v>20000</v>
      </c>
      <c r="K369" s="534"/>
      <c r="L369" s="388">
        <f t="shared" si="222"/>
        <v>100</v>
      </c>
    </row>
    <row r="370" spans="1:12" ht="18.75" customHeight="1" thickTop="1" x14ac:dyDescent="0.25">
      <c r="A370" s="401"/>
      <c r="B370" s="451"/>
      <c r="C370" s="40"/>
      <c r="D370" s="396" t="s">
        <v>471</v>
      </c>
      <c r="E370" s="373"/>
      <c r="F370" s="372"/>
      <c r="G370" s="372"/>
      <c r="H370" s="372"/>
      <c r="I370" s="372"/>
      <c r="J370" s="372"/>
      <c r="K370" s="529"/>
      <c r="L370" s="372"/>
    </row>
    <row r="371" spans="1:12" ht="13.8" x14ac:dyDescent="0.25">
      <c r="A371" s="401"/>
      <c r="B371" s="451"/>
      <c r="C371" s="40"/>
      <c r="D371" s="395" t="s">
        <v>662</v>
      </c>
      <c r="E371" s="363"/>
      <c r="F371" s="372"/>
      <c r="G371" s="372"/>
      <c r="H371" s="372"/>
      <c r="I371" s="372"/>
      <c r="J371" s="372"/>
      <c r="K371" s="529"/>
      <c r="L371" s="372"/>
    </row>
    <row r="372" spans="1:12" ht="31.2" x14ac:dyDescent="0.3">
      <c r="A372" s="425"/>
      <c r="B372" s="452"/>
      <c r="C372" s="97"/>
      <c r="D372" s="429" t="s">
        <v>633</v>
      </c>
      <c r="E372" s="426">
        <v>350000</v>
      </c>
      <c r="F372" s="424">
        <f t="shared" ref="F372:K373" si="229">SUM(F373)</f>
        <v>0</v>
      </c>
      <c r="G372" s="424">
        <f t="shared" si="229"/>
        <v>0</v>
      </c>
      <c r="H372" s="424">
        <f t="shared" si="229"/>
        <v>0</v>
      </c>
      <c r="I372" s="424">
        <f t="shared" si="229"/>
        <v>0</v>
      </c>
      <c r="J372" s="424">
        <f t="shared" si="229"/>
        <v>0</v>
      </c>
      <c r="K372" s="530">
        <f t="shared" si="229"/>
        <v>0</v>
      </c>
      <c r="L372" s="735" t="e">
        <f t="shared" si="222"/>
        <v>#DIV/0!</v>
      </c>
    </row>
    <row r="373" spans="1:12" ht="13.8" x14ac:dyDescent="0.25">
      <c r="A373" s="358" t="s">
        <v>563</v>
      </c>
      <c r="B373" s="447"/>
      <c r="C373" s="354">
        <v>32</v>
      </c>
      <c r="D373" s="365" t="s">
        <v>180</v>
      </c>
      <c r="E373" s="362">
        <v>350000</v>
      </c>
      <c r="F373" s="362">
        <f t="shared" si="229"/>
        <v>0</v>
      </c>
      <c r="G373" s="362">
        <f t="shared" si="229"/>
        <v>0</v>
      </c>
      <c r="H373" s="362">
        <f t="shared" si="229"/>
        <v>0</v>
      </c>
      <c r="I373" s="362">
        <f t="shared" si="229"/>
        <v>0</v>
      </c>
      <c r="J373" s="362">
        <f t="shared" si="229"/>
        <v>0</v>
      </c>
      <c r="K373" s="533">
        <f t="shared" si="229"/>
        <v>0</v>
      </c>
      <c r="L373" s="735" t="e">
        <f t="shared" si="222"/>
        <v>#DIV/0!</v>
      </c>
    </row>
    <row r="374" spans="1:12" ht="13.8" x14ac:dyDescent="0.25">
      <c r="A374" s="355" t="s">
        <v>563</v>
      </c>
      <c r="B374" s="446"/>
      <c r="C374" s="367">
        <v>323</v>
      </c>
      <c r="D374" s="368" t="s">
        <v>56</v>
      </c>
      <c r="E374" s="363">
        <v>350000</v>
      </c>
      <c r="F374" s="363">
        <f>SUM(F376)</f>
        <v>0</v>
      </c>
      <c r="G374" s="363">
        <f>SUM(G376)</f>
        <v>0</v>
      </c>
      <c r="H374" s="363">
        <f>SUM(H376)</f>
        <v>0</v>
      </c>
      <c r="I374" s="363">
        <f>SUM(I376+I375)</f>
        <v>0</v>
      </c>
      <c r="J374" s="363">
        <f>SUM(J376)</f>
        <v>0</v>
      </c>
      <c r="K374" s="532">
        <f>SUM(K376)</f>
        <v>0</v>
      </c>
      <c r="L374" s="650" t="e">
        <f t="shared" si="222"/>
        <v>#DIV/0!</v>
      </c>
    </row>
    <row r="375" spans="1:12" ht="14.4" thickBot="1" x14ac:dyDescent="0.3">
      <c r="A375" s="404" t="s">
        <v>563</v>
      </c>
      <c r="B375" s="448"/>
      <c r="C375" s="386">
        <v>3232</v>
      </c>
      <c r="D375" s="387" t="s">
        <v>242</v>
      </c>
      <c r="E375" s="388">
        <v>350000</v>
      </c>
      <c r="F375" s="388">
        <v>0</v>
      </c>
      <c r="G375" s="388">
        <f>F375/7.5345</f>
        <v>0</v>
      </c>
      <c r="H375" s="388">
        <f>G375/7.5345</f>
        <v>0</v>
      </c>
      <c r="I375" s="388">
        <v>0</v>
      </c>
      <c r="J375" s="388">
        <f>SUM(H375+I375)</f>
        <v>0</v>
      </c>
      <c r="K375" s="534">
        <f>J375*7.5345</f>
        <v>0</v>
      </c>
      <c r="L375" s="650" t="e">
        <f t="shared" si="222"/>
        <v>#DIV/0!</v>
      </c>
    </row>
    <row r="376" spans="1:12" s="210" customFormat="1" ht="15" thickTop="1" thickBot="1" x14ac:dyDescent="0.3">
      <c r="A376" s="404" t="s">
        <v>563</v>
      </c>
      <c r="B376" s="448"/>
      <c r="C376" s="386">
        <v>3232</v>
      </c>
      <c r="D376" s="387" t="s">
        <v>242</v>
      </c>
      <c r="E376" s="388">
        <v>350000</v>
      </c>
      <c r="F376" s="388">
        <v>0</v>
      </c>
      <c r="G376" s="388">
        <f>F376/7.5345</f>
        <v>0</v>
      </c>
      <c r="H376" s="388">
        <f>G376/7.5345</f>
        <v>0</v>
      </c>
      <c r="I376" s="388">
        <v>0</v>
      </c>
      <c r="J376" s="388">
        <f>SUM(H376+I376)</f>
        <v>0</v>
      </c>
      <c r="K376" s="534">
        <f>J376*7.5345</f>
        <v>0</v>
      </c>
      <c r="L376" s="388" t="e">
        <f t="shared" si="222"/>
        <v>#DIV/0!</v>
      </c>
    </row>
    <row r="377" spans="1:12" s="97" customFormat="1" ht="16.2" thickTop="1" x14ac:dyDescent="0.3">
      <c r="A377" s="401"/>
      <c r="B377" s="451"/>
      <c r="C377" s="40"/>
      <c r="D377" s="396" t="s">
        <v>471</v>
      </c>
      <c r="E377" s="373"/>
      <c r="F377" s="372"/>
      <c r="G377" s="372"/>
      <c r="H377" s="372"/>
      <c r="I377" s="372"/>
      <c r="J377" s="372"/>
      <c r="K377" s="529"/>
      <c r="L377" s="372"/>
    </row>
    <row r="378" spans="1:12" s="28" customFormat="1" ht="13.8" x14ac:dyDescent="0.25">
      <c r="A378" s="401"/>
      <c r="B378" s="451"/>
      <c r="C378" s="40"/>
      <c r="D378" s="395" t="s">
        <v>658</v>
      </c>
      <c r="E378" s="363"/>
      <c r="F378" s="372"/>
      <c r="G378" s="372"/>
      <c r="H378" s="372"/>
      <c r="I378" s="372"/>
      <c r="J378" s="372"/>
      <c r="K378" s="529"/>
      <c r="L378" s="372"/>
    </row>
    <row r="379" spans="1:12" ht="31.2" x14ac:dyDescent="0.3">
      <c r="A379" s="425"/>
      <c r="B379" s="452"/>
      <c r="C379" s="97"/>
      <c r="D379" s="429" t="s">
        <v>634</v>
      </c>
      <c r="E379" s="426">
        <v>350000</v>
      </c>
      <c r="F379" s="424">
        <f t="shared" ref="F379:K381" si="230">SUM(F380)</f>
        <v>0</v>
      </c>
      <c r="G379" s="424">
        <f t="shared" si="230"/>
        <v>0</v>
      </c>
      <c r="H379" s="424">
        <f t="shared" si="230"/>
        <v>82700</v>
      </c>
      <c r="I379" s="424">
        <f t="shared" si="230"/>
        <v>0</v>
      </c>
      <c r="J379" s="424">
        <f t="shared" si="230"/>
        <v>82700</v>
      </c>
      <c r="K379" s="530">
        <f t="shared" si="230"/>
        <v>113017.5</v>
      </c>
      <c r="L379" s="735">
        <f t="shared" si="222"/>
        <v>100</v>
      </c>
    </row>
    <row r="380" spans="1:12" ht="13.8" x14ac:dyDescent="0.25">
      <c r="A380" s="358" t="s">
        <v>564</v>
      </c>
      <c r="B380" s="447"/>
      <c r="C380" s="354">
        <v>32</v>
      </c>
      <c r="D380" s="365" t="s">
        <v>180</v>
      </c>
      <c r="E380" s="362">
        <v>350000</v>
      </c>
      <c r="F380" s="362">
        <f t="shared" si="230"/>
        <v>0</v>
      </c>
      <c r="G380" s="362">
        <f t="shared" si="230"/>
        <v>0</v>
      </c>
      <c r="H380" s="362">
        <f>SUM(H381+H383)</f>
        <v>82700</v>
      </c>
      <c r="I380" s="362">
        <f t="shared" ref="I380:J380" si="231">SUM(I381+I383)</f>
        <v>0</v>
      </c>
      <c r="J380" s="362">
        <f t="shared" si="231"/>
        <v>82700</v>
      </c>
      <c r="K380" s="533">
        <f t="shared" si="230"/>
        <v>113017.5</v>
      </c>
      <c r="L380" s="735">
        <f t="shared" si="222"/>
        <v>100</v>
      </c>
    </row>
    <row r="381" spans="1:12" ht="13.8" x14ac:dyDescent="0.25">
      <c r="A381" s="355" t="s">
        <v>564</v>
      </c>
      <c r="B381" s="446"/>
      <c r="C381" s="367">
        <v>323</v>
      </c>
      <c r="D381" s="368" t="s">
        <v>56</v>
      </c>
      <c r="E381" s="363">
        <v>350000</v>
      </c>
      <c r="F381" s="363">
        <f t="shared" si="230"/>
        <v>0</v>
      </c>
      <c r="G381" s="363">
        <f t="shared" si="230"/>
        <v>0</v>
      </c>
      <c r="H381" s="363">
        <f t="shared" si="230"/>
        <v>15000</v>
      </c>
      <c r="I381" s="363">
        <f t="shared" si="230"/>
        <v>0</v>
      </c>
      <c r="J381" s="363">
        <f t="shared" si="230"/>
        <v>15000</v>
      </c>
      <c r="K381" s="532">
        <f t="shared" si="230"/>
        <v>113017.5</v>
      </c>
      <c r="L381" s="650">
        <f t="shared" si="222"/>
        <v>100</v>
      </c>
    </row>
    <row r="382" spans="1:12" s="591" customFormat="1" ht="14.4" thickBot="1" x14ac:dyDescent="0.3">
      <c r="A382" s="356" t="s">
        <v>564</v>
      </c>
      <c r="B382" s="453"/>
      <c r="C382" s="399">
        <v>3232</v>
      </c>
      <c r="D382" s="370" t="s">
        <v>242</v>
      </c>
      <c r="E382" s="361">
        <v>350000</v>
      </c>
      <c r="F382" s="361">
        <v>0</v>
      </c>
      <c r="G382" s="361">
        <f>F382/7.5345</f>
        <v>0</v>
      </c>
      <c r="H382" s="361">
        <v>15000</v>
      </c>
      <c r="I382" s="361">
        <v>0</v>
      </c>
      <c r="J382" s="361">
        <f>SUM(H382+I382)</f>
        <v>15000</v>
      </c>
      <c r="K382" s="535">
        <f>J382*7.5345</f>
        <v>113017.5</v>
      </c>
      <c r="L382" s="650">
        <f t="shared" si="222"/>
        <v>100</v>
      </c>
    </row>
    <row r="383" spans="1:12" s="97" customFormat="1" ht="16.2" thickTop="1" x14ac:dyDescent="0.3">
      <c r="A383" s="366" t="s">
        <v>564</v>
      </c>
      <c r="B383" s="446"/>
      <c r="C383" s="367">
        <v>323</v>
      </c>
      <c r="D383" s="368" t="s">
        <v>56</v>
      </c>
      <c r="E383" s="363"/>
      <c r="F383" s="363"/>
      <c r="G383" s="363"/>
      <c r="H383" s="363">
        <f>SUM(H384)</f>
        <v>67700</v>
      </c>
      <c r="I383" s="363">
        <f t="shared" ref="I383:J383" si="232">SUM(I384)</f>
        <v>0</v>
      </c>
      <c r="J383" s="363">
        <f t="shared" si="232"/>
        <v>67700</v>
      </c>
      <c r="K383" s="532"/>
      <c r="L383" s="650">
        <f t="shared" si="222"/>
        <v>100</v>
      </c>
    </row>
    <row r="384" spans="1:12" s="28" customFormat="1" ht="14.4" thickBot="1" x14ac:dyDescent="0.3">
      <c r="A384" s="603" t="s">
        <v>564</v>
      </c>
      <c r="B384" s="448"/>
      <c r="C384" s="386">
        <v>3232</v>
      </c>
      <c r="D384" s="387" t="s">
        <v>242</v>
      </c>
      <c r="E384" s="388"/>
      <c r="F384" s="388"/>
      <c r="G384" s="388"/>
      <c r="H384" s="388">
        <v>67700</v>
      </c>
      <c r="I384" s="361">
        <v>0</v>
      </c>
      <c r="J384" s="361">
        <f>SUM(H384+I384)</f>
        <v>67700</v>
      </c>
      <c r="K384" s="534"/>
      <c r="L384" s="650">
        <f t="shared" si="222"/>
        <v>100</v>
      </c>
    </row>
    <row r="385" spans="1:12" ht="18.600000000000001" thickTop="1" thickBot="1" x14ac:dyDescent="0.3">
      <c r="A385" s="895" t="s">
        <v>622</v>
      </c>
      <c r="B385" s="896"/>
      <c r="C385" s="896"/>
      <c r="D385" s="897"/>
      <c r="E385" s="604" t="e">
        <f>SUM(E388+#REF!+#REF!+E394+E400)</f>
        <v>#REF!</v>
      </c>
      <c r="F385" s="604" t="e">
        <f>SUM(F388+F394+F400+F410+#REF!+F417)</f>
        <v>#REF!</v>
      </c>
      <c r="G385" s="604" t="e">
        <f>SUM(G388+G394+G400+G410+#REF!+G417)</f>
        <v>#REF!</v>
      </c>
      <c r="H385" s="604">
        <f t="shared" ref="H385:I385" si="233">SUM(H388+H394+H400+H410+H417+H425+H433)</f>
        <v>348500</v>
      </c>
      <c r="I385" s="604">
        <f t="shared" si="233"/>
        <v>-53000</v>
      </c>
      <c r="J385" s="604">
        <f>SUM(J388+J394+J400+J410+J417+J425+J433)</f>
        <v>295500</v>
      </c>
      <c r="K385" s="605" t="e">
        <f>SUM(K388+K394+K400+K410+#REF!+K417)</f>
        <v>#REF!</v>
      </c>
      <c r="L385" s="604">
        <f t="shared" si="222"/>
        <v>84.791965566714495</v>
      </c>
    </row>
    <row r="386" spans="1:12" ht="19.5" customHeight="1" x14ac:dyDescent="0.25">
      <c r="A386" s="401"/>
      <c r="B386" s="40"/>
      <c r="C386" s="40"/>
      <c r="D386" s="396" t="s">
        <v>471</v>
      </c>
      <c r="E386" s="373"/>
      <c r="F386" s="372"/>
      <c r="G386" s="372"/>
      <c r="H386" s="372"/>
      <c r="I386" s="372"/>
      <c r="J386" s="372"/>
      <c r="K386" s="529"/>
      <c r="L386" s="861">
        <f>AVERAGE(J388/H388*100)</f>
        <v>137.03703703703704</v>
      </c>
    </row>
    <row r="387" spans="1:12" ht="13.8" x14ac:dyDescent="0.25">
      <c r="A387" s="401"/>
      <c r="B387" s="40"/>
      <c r="C387" s="40"/>
      <c r="D387" s="395" t="s">
        <v>662</v>
      </c>
      <c r="E387" s="363"/>
      <c r="F387" s="372"/>
      <c r="G387" s="372"/>
      <c r="H387" s="372"/>
      <c r="I387" s="372"/>
      <c r="J387" s="372"/>
      <c r="K387" s="529"/>
      <c r="L387" s="850"/>
    </row>
    <row r="388" spans="1:12" s="390" customFormat="1" ht="39" customHeight="1" thickBot="1" x14ac:dyDescent="0.35">
      <c r="A388" s="425"/>
      <c r="B388" s="97"/>
      <c r="C388" s="97"/>
      <c r="D388" s="429" t="s">
        <v>438</v>
      </c>
      <c r="E388" s="426">
        <v>120000</v>
      </c>
      <c r="F388" s="424">
        <f t="shared" ref="F388:K390" si="234">SUM(F389)</f>
        <v>100000</v>
      </c>
      <c r="G388" s="424">
        <f t="shared" si="234"/>
        <v>13272.280841462605</v>
      </c>
      <c r="H388" s="424">
        <f t="shared" si="234"/>
        <v>13500</v>
      </c>
      <c r="I388" s="424">
        <f t="shared" si="234"/>
        <v>5000</v>
      </c>
      <c r="J388" s="424">
        <f t="shared" si="234"/>
        <v>18500</v>
      </c>
      <c r="K388" s="530">
        <f t="shared" si="234"/>
        <v>139388.25</v>
      </c>
      <c r="L388" s="851"/>
    </row>
    <row r="389" spans="1:12" ht="14.4" thickTop="1" x14ac:dyDescent="0.25">
      <c r="A389" s="358" t="s">
        <v>565</v>
      </c>
      <c r="B389" s="447"/>
      <c r="C389" s="354">
        <v>41</v>
      </c>
      <c r="D389" s="365" t="s">
        <v>248</v>
      </c>
      <c r="E389" s="362">
        <v>120000</v>
      </c>
      <c r="F389" s="362">
        <f t="shared" si="234"/>
        <v>100000</v>
      </c>
      <c r="G389" s="362">
        <f t="shared" si="234"/>
        <v>13272.280841462605</v>
      </c>
      <c r="H389" s="362">
        <f t="shared" si="234"/>
        <v>13500</v>
      </c>
      <c r="I389" s="362">
        <f t="shared" si="234"/>
        <v>5000</v>
      </c>
      <c r="J389" s="362">
        <f t="shared" si="234"/>
        <v>18500</v>
      </c>
      <c r="K389" s="533">
        <f t="shared" si="234"/>
        <v>139388.25</v>
      </c>
      <c r="L389" s="734">
        <f>AVERAGE(J389/H389*100)</f>
        <v>137.03703703703704</v>
      </c>
    </row>
    <row r="390" spans="1:12" ht="13.8" x14ac:dyDescent="0.25">
      <c r="A390" s="355" t="s">
        <v>565</v>
      </c>
      <c r="B390" s="446"/>
      <c r="C390" s="367">
        <v>411</v>
      </c>
      <c r="D390" s="368" t="s">
        <v>95</v>
      </c>
      <c r="E390" s="363">
        <v>120000</v>
      </c>
      <c r="F390" s="363">
        <f t="shared" si="234"/>
        <v>100000</v>
      </c>
      <c r="G390" s="363">
        <f t="shared" si="234"/>
        <v>13272.280841462605</v>
      </c>
      <c r="H390" s="363">
        <f t="shared" si="234"/>
        <v>13500</v>
      </c>
      <c r="I390" s="363">
        <f t="shared" si="234"/>
        <v>5000</v>
      </c>
      <c r="J390" s="363">
        <f t="shared" si="234"/>
        <v>18500</v>
      </c>
      <c r="K390" s="532">
        <f t="shared" si="234"/>
        <v>139388.25</v>
      </c>
      <c r="L390" s="384">
        <f t="shared" ref="L390:L391" si="235">AVERAGE(J390/H390*100)</f>
        <v>137.03703703703704</v>
      </c>
    </row>
    <row r="391" spans="1:12" ht="14.4" thickBot="1" x14ac:dyDescent="0.3">
      <c r="A391" s="404" t="s">
        <v>462</v>
      </c>
      <c r="B391" s="448"/>
      <c r="C391" s="386">
        <v>4111</v>
      </c>
      <c r="D391" s="387" t="s">
        <v>40</v>
      </c>
      <c r="E391" s="388">
        <v>120000</v>
      </c>
      <c r="F391" s="388">
        <v>100000</v>
      </c>
      <c r="G391" s="388">
        <f>F391/7.5345</f>
        <v>13272.280841462605</v>
      </c>
      <c r="H391" s="388">
        <v>13500</v>
      </c>
      <c r="I391" s="388">
        <v>5000</v>
      </c>
      <c r="J391" s="388">
        <f>SUM(H391+I391)</f>
        <v>18500</v>
      </c>
      <c r="K391" s="534">
        <f>J391*7.5345</f>
        <v>139388.25</v>
      </c>
      <c r="L391" s="384">
        <f t="shared" si="235"/>
        <v>137.03703703703704</v>
      </c>
    </row>
    <row r="392" spans="1:12" ht="18" customHeight="1" thickTop="1" x14ac:dyDescent="0.25">
      <c r="A392" s="401"/>
      <c r="B392" s="451"/>
      <c r="C392" s="40"/>
      <c r="D392" s="396" t="s">
        <v>471</v>
      </c>
      <c r="E392" s="373"/>
      <c r="F392" s="372"/>
      <c r="G392" s="372"/>
      <c r="H392" s="372"/>
      <c r="I392" s="372"/>
      <c r="J392" s="372"/>
      <c r="K392" s="529"/>
      <c r="L392" s="849">
        <f>AVERAGE(J394/H394*100)</f>
        <v>100</v>
      </c>
    </row>
    <row r="393" spans="1:12" s="97" customFormat="1" ht="15.6" x14ac:dyDescent="0.3">
      <c r="A393" s="401"/>
      <c r="B393" s="451"/>
      <c r="C393" s="40"/>
      <c r="D393" s="395" t="s">
        <v>667</v>
      </c>
      <c r="E393" s="363"/>
      <c r="F393" s="372"/>
      <c r="G393" s="372"/>
      <c r="H393" s="372"/>
      <c r="I393" s="372"/>
      <c r="J393" s="372"/>
      <c r="K393" s="529"/>
      <c r="L393" s="850"/>
    </row>
    <row r="394" spans="1:12" ht="15.6" x14ac:dyDescent="0.3">
      <c r="A394" s="425"/>
      <c r="B394" s="452"/>
      <c r="C394" s="97"/>
      <c r="D394" s="429" t="s">
        <v>439</v>
      </c>
      <c r="E394" s="426">
        <v>300000</v>
      </c>
      <c r="F394" s="424">
        <f t="shared" ref="F394:K396" si="236">SUM(F395)</f>
        <v>100000</v>
      </c>
      <c r="G394" s="424">
        <f t="shared" si="236"/>
        <v>13272.280841462605</v>
      </c>
      <c r="H394" s="424">
        <f t="shared" si="236"/>
        <v>20000</v>
      </c>
      <c r="I394" s="424">
        <f t="shared" si="236"/>
        <v>0</v>
      </c>
      <c r="J394" s="424">
        <f t="shared" si="236"/>
        <v>20000</v>
      </c>
      <c r="K394" s="530">
        <f t="shared" si="236"/>
        <v>150690</v>
      </c>
      <c r="L394" s="851"/>
    </row>
    <row r="395" spans="1:12" s="456" customFormat="1" ht="13.8" x14ac:dyDescent="0.25">
      <c r="A395" s="358" t="s">
        <v>566</v>
      </c>
      <c r="B395" s="447"/>
      <c r="C395" s="354">
        <v>42</v>
      </c>
      <c r="D395" s="365" t="s">
        <v>250</v>
      </c>
      <c r="E395" s="362">
        <v>300000</v>
      </c>
      <c r="F395" s="362">
        <f t="shared" si="236"/>
        <v>100000</v>
      </c>
      <c r="G395" s="362">
        <f t="shared" si="236"/>
        <v>13272.280841462605</v>
      </c>
      <c r="H395" s="362">
        <f t="shared" si="236"/>
        <v>20000</v>
      </c>
      <c r="I395" s="362">
        <f t="shared" si="236"/>
        <v>0</v>
      </c>
      <c r="J395" s="362">
        <f t="shared" si="236"/>
        <v>20000</v>
      </c>
      <c r="K395" s="533">
        <f t="shared" si="236"/>
        <v>150690</v>
      </c>
      <c r="L395" s="734">
        <f>AVERAGE(J395/H395*100)</f>
        <v>100</v>
      </c>
    </row>
    <row r="396" spans="1:12" ht="13.8" x14ac:dyDescent="0.25">
      <c r="A396" s="355" t="s">
        <v>566</v>
      </c>
      <c r="B396" s="446"/>
      <c r="C396" s="367">
        <v>421</v>
      </c>
      <c r="D396" s="368" t="s">
        <v>97</v>
      </c>
      <c r="E396" s="363">
        <v>300000</v>
      </c>
      <c r="F396" s="363">
        <f t="shared" si="236"/>
        <v>100000</v>
      </c>
      <c r="G396" s="363">
        <f t="shared" si="236"/>
        <v>13272.280841462605</v>
      </c>
      <c r="H396" s="363">
        <f t="shared" si="236"/>
        <v>20000</v>
      </c>
      <c r="I396" s="363">
        <f t="shared" si="236"/>
        <v>0</v>
      </c>
      <c r="J396" s="363">
        <f t="shared" si="236"/>
        <v>20000</v>
      </c>
      <c r="K396" s="532">
        <f t="shared" si="236"/>
        <v>150690</v>
      </c>
      <c r="L396" s="384">
        <f t="shared" ref="L396:L397" si="237">AVERAGE(J396/H396*100)</f>
        <v>100</v>
      </c>
    </row>
    <row r="397" spans="1:12" ht="14.4" thickBot="1" x14ac:dyDescent="0.3">
      <c r="A397" s="404" t="s">
        <v>463</v>
      </c>
      <c r="B397" s="448"/>
      <c r="C397" s="386">
        <v>4214</v>
      </c>
      <c r="D397" s="387" t="s">
        <v>251</v>
      </c>
      <c r="E397" s="388">
        <v>300000</v>
      </c>
      <c r="F397" s="388">
        <v>100000</v>
      </c>
      <c r="G397" s="388">
        <f>F397/7.5345</f>
        <v>13272.280841462605</v>
      </c>
      <c r="H397" s="388">
        <v>20000</v>
      </c>
      <c r="I397" s="388">
        <v>0</v>
      </c>
      <c r="J397" s="388">
        <f>SUM(H397+I397)</f>
        <v>20000</v>
      </c>
      <c r="K397" s="534">
        <f>J397*7.5345</f>
        <v>150690</v>
      </c>
      <c r="L397" s="384">
        <f t="shared" si="237"/>
        <v>100</v>
      </c>
    </row>
    <row r="398" spans="1:12" s="592" customFormat="1" ht="21.75" customHeight="1" thickTop="1" thickBot="1" x14ac:dyDescent="0.35">
      <c r="A398" s="652"/>
      <c r="B398" s="672"/>
      <c r="C398" s="654"/>
      <c r="D398" s="644" t="s">
        <v>471</v>
      </c>
      <c r="E398" s="655"/>
      <c r="F398" s="617"/>
      <c r="G398" s="617"/>
      <c r="H398" s="617"/>
      <c r="I398" s="617"/>
      <c r="J398" s="617"/>
      <c r="K398" s="645"/>
      <c r="L398" s="846">
        <f>AVERAGE(J400/H400*100)</f>
        <v>66.13636363636364</v>
      </c>
    </row>
    <row r="399" spans="1:12" s="28" customFormat="1" ht="14.4" thickTop="1" x14ac:dyDescent="0.25">
      <c r="A399" s="652"/>
      <c r="B399" s="672"/>
      <c r="C399" s="654"/>
      <c r="D399" s="644" t="s">
        <v>663</v>
      </c>
      <c r="E399" s="615"/>
      <c r="F399" s="617"/>
      <c r="G399" s="617"/>
      <c r="H399" s="617"/>
      <c r="I399" s="617"/>
      <c r="J399" s="617"/>
      <c r="K399" s="645"/>
      <c r="L399" s="847"/>
    </row>
    <row r="400" spans="1:12" ht="15.6" x14ac:dyDescent="0.3">
      <c r="A400" s="656"/>
      <c r="B400" s="668"/>
      <c r="C400" s="658"/>
      <c r="D400" s="616" t="s">
        <v>440</v>
      </c>
      <c r="E400" s="624">
        <v>1472500</v>
      </c>
      <c r="F400" s="602">
        <f t="shared" ref="F400:K400" si="238">SUM(F401)</f>
        <v>665000</v>
      </c>
      <c r="G400" s="602">
        <f t="shared" si="238"/>
        <v>88260.667595726321</v>
      </c>
      <c r="H400" s="602">
        <f t="shared" si="238"/>
        <v>220000</v>
      </c>
      <c r="I400" s="602">
        <f t="shared" si="238"/>
        <v>-74500</v>
      </c>
      <c r="J400" s="602">
        <f t="shared" si="238"/>
        <v>145500</v>
      </c>
      <c r="K400" s="660">
        <f t="shared" si="238"/>
        <v>855165.75</v>
      </c>
      <c r="L400" s="848"/>
    </row>
    <row r="401" spans="1:12" ht="13.8" x14ac:dyDescent="0.25">
      <c r="A401" s="673" t="s">
        <v>567</v>
      </c>
      <c r="B401" s="626"/>
      <c r="C401" s="627">
        <v>42</v>
      </c>
      <c r="D401" s="628" t="s">
        <v>250</v>
      </c>
      <c r="E401" s="629">
        <v>1472500</v>
      </c>
      <c r="F401" s="629">
        <f t="shared" ref="F401:K401" si="239">SUM(F402)</f>
        <v>665000</v>
      </c>
      <c r="G401" s="629">
        <f t="shared" si="239"/>
        <v>88260.667595726321</v>
      </c>
      <c r="H401" s="629">
        <f t="shared" si="239"/>
        <v>220000</v>
      </c>
      <c r="I401" s="629">
        <f t="shared" si="239"/>
        <v>-74500</v>
      </c>
      <c r="J401" s="629">
        <f t="shared" si="239"/>
        <v>145500</v>
      </c>
      <c r="K401" s="630">
        <f t="shared" si="239"/>
        <v>855165.75</v>
      </c>
      <c r="L401" s="735">
        <f>AVERAGE(J401/H401*100)</f>
        <v>66.13636363636364</v>
      </c>
    </row>
    <row r="402" spans="1:12" s="704" customFormat="1" ht="13.8" x14ac:dyDescent="0.25">
      <c r="A402" s="674" t="s">
        <v>567</v>
      </c>
      <c r="B402" s="631"/>
      <c r="C402" s="632">
        <v>421</v>
      </c>
      <c r="D402" s="621" t="s">
        <v>97</v>
      </c>
      <c r="E402" s="615">
        <v>1472500</v>
      </c>
      <c r="F402" s="615">
        <f t="shared" ref="F402:K402" si="240">SUM(F403:F407)</f>
        <v>665000</v>
      </c>
      <c r="G402" s="615">
        <f t="shared" si="240"/>
        <v>88260.667595726321</v>
      </c>
      <c r="H402" s="615">
        <f t="shared" si="240"/>
        <v>220000</v>
      </c>
      <c r="I402" s="615">
        <f t="shared" si="240"/>
        <v>-74500</v>
      </c>
      <c r="J402" s="615">
        <f t="shared" si="240"/>
        <v>145500</v>
      </c>
      <c r="K402" s="622">
        <f t="shared" si="240"/>
        <v>855165.75</v>
      </c>
      <c r="L402" s="650">
        <f t="shared" ref="L402:L407" si="241">AVERAGE(J402/H402*100)</f>
        <v>66.13636363636364</v>
      </c>
    </row>
    <row r="403" spans="1:12" ht="13.8" x14ac:dyDescent="0.25">
      <c r="A403" s="674" t="s">
        <v>567</v>
      </c>
      <c r="B403" s="631"/>
      <c r="C403" s="632">
        <v>4213</v>
      </c>
      <c r="D403" s="621" t="s">
        <v>591</v>
      </c>
      <c r="E403" s="615">
        <v>1472500</v>
      </c>
      <c r="F403" s="615">
        <v>380000</v>
      </c>
      <c r="G403" s="615">
        <f t="shared" ref="G403:G407" si="242">F403/7.5345</f>
        <v>50434.667197557901</v>
      </c>
      <c r="H403" s="615">
        <v>30000</v>
      </c>
      <c r="I403" s="615">
        <v>-2000</v>
      </c>
      <c r="J403" s="363">
        <f>SUM(H403+I403)</f>
        <v>28000</v>
      </c>
      <c r="K403" s="622">
        <f t="shared" ref="K403:K407" si="243">J403*7.5345</f>
        <v>210966</v>
      </c>
      <c r="L403" s="650">
        <f t="shared" si="241"/>
        <v>93.333333333333329</v>
      </c>
    </row>
    <row r="404" spans="1:12" ht="13.8" x14ac:dyDescent="0.25">
      <c r="A404" s="674" t="s">
        <v>567</v>
      </c>
      <c r="B404" s="631"/>
      <c r="C404" s="632">
        <v>4213</v>
      </c>
      <c r="D404" s="621" t="s">
        <v>683</v>
      </c>
      <c r="E404" s="615"/>
      <c r="F404" s="615"/>
      <c r="G404" s="615"/>
      <c r="H404" s="615">
        <v>32000</v>
      </c>
      <c r="I404" s="615"/>
      <c r="J404" s="363">
        <f>SUM(H404+I404)</f>
        <v>32000</v>
      </c>
      <c r="K404" s="622"/>
      <c r="L404" s="650"/>
    </row>
    <row r="405" spans="1:12" s="210" customFormat="1" ht="13.5" customHeight="1" x14ac:dyDescent="0.25">
      <c r="A405" s="674" t="s">
        <v>567</v>
      </c>
      <c r="B405" s="631"/>
      <c r="C405" s="632">
        <v>4213</v>
      </c>
      <c r="D405" s="621" t="s">
        <v>682</v>
      </c>
      <c r="E405" s="615">
        <v>1472500</v>
      </c>
      <c r="F405" s="615">
        <v>285000</v>
      </c>
      <c r="G405" s="615">
        <f t="shared" si="242"/>
        <v>37826.00039816842</v>
      </c>
      <c r="H405" s="615">
        <v>60000</v>
      </c>
      <c r="I405" s="615">
        <v>-33500</v>
      </c>
      <c r="J405" s="363">
        <f t="shared" ref="J405:J407" si="244">SUM(H405+I405)</f>
        <v>26500</v>
      </c>
      <c r="K405" s="622">
        <f t="shared" si="243"/>
        <v>199664.25</v>
      </c>
      <c r="L405" s="650">
        <f t="shared" si="241"/>
        <v>44.166666666666664</v>
      </c>
    </row>
    <row r="406" spans="1:12" ht="13.8" x14ac:dyDescent="0.25">
      <c r="A406" s="674" t="s">
        <v>567</v>
      </c>
      <c r="B406" s="631"/>
      <c r="C406" s="632">
        <v>4213</v>
      </c>
      <c r="D406" s="621" t="s">
        <v>476</v>
      </c>
      <c r="E406" s="615">
        <v>1472500</v>
      </c>
      <c r="F406" s="615">
        <v>0</v>
      </c>
      <c r="G406" s="615">
        <f t="shared" ref="G406" si="245">F406/7.5345</f>
        <v>0</v>
      </c>
      <c r="H406" s="615">
        <v>68000</v>
      </c>
      <c r="I406" s="615">
        <v>-38000</v>
      </c>
      <c r="J406" s="363">
        <f t="shared" si="244"/>
        <v>30000</v>
      </c>
      <c r="K406" s="622">
        <f t="shared" si="243"/>
        <v>226035</v>
      </c>
      <c r="L406" s="650">
        <f t="shared" si="241"/>
        <v>44.117647058823529</v>
      </c>
    </row>
    <row r="407" spans="1:12" ht="14.4" thickBot="1" x14ac:dyDescent="0.3">
      <c r="A407" s="676" t="s">
        <v>567</v>
      </c>
      <c r="B407" s="677"/>
      <c r="C407" s="678">
        <v>4213</v>
      </c>
      <c r="D407" s="679" t="s">
        <v>684</v>
      </c>
      <c r="E407" s="680">
        <v>1472500</v>
      </c>
      <c r="F407" s="680">
        <v>0</v>
      </c>
      <c r="G407" s="680">
        <f t="shared" si="242"/>
        <v>0</v>
      </c>
      <c r="H407" s="680">
        <v>30000</v>
      </c>
      <c r="I407" s="680">
        <v>-1000</v>
      </c>
      <c r="J407" s="430">
        <f t="shared" si="244"/>
        <v>29000</v>
      </c>
      <c r="K407" s="718">
        <f t="shared" si="243"/>
        <v>218500.5</v>
      </c>
      <c r="L407" s="650">
        <f t="shared" si="241"/>
        <v>96.666666666666671</v>
      </c>
    </row>
    <row r="408" spans="1:12" ht="28.2" thickTop="1" x14ac:dyDescent="0.25">
      <c r="A408" s="652"/>
      <c r="B408" s="672"/>
      <c r="C408" s="654"/>
      <c r="D408" s="644" t="s">
        <v>406</v>
      </c>
      <c r="E408" s="655"/>
      <c r="F408" s="617"/>
      <c r="G408" s="617"/>
      <c r="H408" s="617"/>
      <c r="I408" s="617"/>
      <c r="J408" s="617"/>
      <c r="K408" s="645"/>
      <c r="L408" s="846">
        <f>AVERAGE(J410/H410*100)</f>
        <v>100</v>
      </c>
    </row>
    <row r="409" spans="1:12" s="390" customFormat="1" ht="14.4" thickBot="1" x14ac:dyDescent="0.3">
      <c r="A409" s="652"/>
      <c r="B409" s="672"/>
      <c r="C409" s="654"/>
      <c r="D409" s="665" t="s">
        <v>651</v>
      </c>
      <c r="E409" s="615"/>
      <c r="F409" s="617"/>
      <c r="G409" s="617"/>
      <c r="H409" s="617"/>
      <c r="I409" s="617"/>
      <c r="J409" s="617"/>
      <c r="K409" s="645"/>
      <c r="L409" s="847"/>
    </row>
    <row r="410" spans="1:12" s="97" customFormat="1" ht="31.8" thickTop="1" x14ac:dyDescent="0.3">
      <c r="A410" s="656"/>
      <c r="B410" s="668"/>
      <c r="C410" s="658"/>
      <c r="D410" s="616" t="s">
        <v>470</v>
      </c>
      <c r="E410" s="624">
        <v>300000</v>
      </c>
      <c r="F410" s="602">
        <f t="shared" ref="F410:K411" si="246">SUM(F411)</f>
        <v>200000</v>
      </c>
      <c r="G410" s="602">
        <f t="shared" si="246"/>
        <v>26544.56168292521</v>
      </c>
      <c r="H410" s="602">
        <f t="shared" si="246"/>
        <v>30000</v>
      </c>
      <c r="I410" s="602">
        <f t="shared" si="246"/>
        <v>0</v>
      </c>
      <c r="J410" s="602">
        <f t="shared" si="246"/>
        <v>30000</v>
      </c>
      <c r="K410" s="660">
        <f t="shared" si="246"/>
        <v>226035</v>
      </c>
      <c r="L410" s="848"/>
    </row>
    <row r="411" spans="1:12" s="28" customFormat="1" ht="13.8" x14ac:dyDescent="0.25">
      <c r="A411" s="673" t="s">
        <v>568</v>
      </c>
      <c r="B411" s="626"/>
      <c r="C411" s="627">
        <v>38</v>
      </c>
      <c r="D411" s="628" t="s">
        <v>128</v>
      </c>
      <c r="E411" s="629">
        <v>300000</v>
      </c>
      <c r="F411" s="629">
        <f t="shared" si="246"/>
        <v>200000</v>
      </c>
      <c r="G411" s="629">
        <f t="shared" si="246"/>
        <v>26544.56168292521</v>
      </c>
      <c r="H411" s="629">
        <f t="shared" si="246"/>
        <v>30000</v>
      </c>
      <c r="I411" s="629">
        <f t="shared" si="246"/>
        <v>0</v>
      </c>
      <c r="J411" s="629">
        <f t="shared" si="246"/>
        <v>30000</v>
      </c>
      <c r="K411" s="630">
        <f t="shared" si="246"/>
        <v>226035</v>
      </c>
      <c r="L411" s="735">
        <f>AVERAGE(J411/H411*100)</f>
        <v>100</v>
      </c>
    </row>
    <row r="412" spans="1:12" ht="13.8" x14ac:dyDescent="0.25">
      <c r="A412" s="674" t="s">
        <v>568</v>
      </c>
      <c r="B412" s="631"/>
      <c r="C412" s="632">
        <v>386</v>
      </c>
      <c r="D412" s="621" t="s">
        <v>262</v>
      </c>
      <c r="E412" s="615">
        <v>300000</v>
      </c>
      <c r="F412" s="615">
        <f t="shared" ref="F412:J412" si="247">SUM(F413+F414)</f>
        <v>200000</v>
      </c>
      <c r="G412" s="615">
        <f t="shared" si="247"/>
        <v>26544.56168292521</v>
      </c>
      <c r="H412" s="615">
        <f t="shared" si="247"/>
        <v>30000</v>
      </c>
      <c r="I412" s="615">
        <f t="shared" si="247"/>
        <v>0</v>
      </c>
      <c r="J412" s="615">
        <f t="shared" si="247"/>
        <v>30000</v>
      </c>
      <c r="K412" s="622">
        <f t="shared" ref="K412" si="248">SUM(K413+K414)</f>
        <v>226035</v>
      </c>
      <c r="L412" s="650">
        <f t="shared" ref="L412:L414" si="249">AVERAGE(J412/H412*100)</f>
        <v>100</v>
      </c>
    </row>
    <row r="413" spans="1:12" ht="27.6" x14ac:dyDescent="0.25">
      <c r="A413" s="681" t="s">
        <v>568</v>
      </c>
      <c r="B413" s="634"/>
      <c r="C413" s="682">
        <v>3861</v>
      </c>
      <c r="D413" s="683" t="s">
        <v>484</v>
      </c>
      <c r="E413" s="684">
        <v>300000</v>
      </c>
      <c r="F413" s="684">
        <v>150000</v>
      </c>
      <c r="G413" s="685">
        <f>F413/7.5345</f>
        <v>19908.421262193908</v>
      </c>
      <c r="H413" s="685">
        <v>20000</v>
      </c>
      <c r="I413" s="685">
        <v>0</v>
      </c>
      <c r="J413" s="685">
        <f>SUM(H413+I413)</f>
        <v>20000</v>
      </c>
      <c r="K413" s="686">
        <f>J413*7.5345</f>
        <v>150690</v>
      </c>
      <c r="L413" s="650">
        <f t="shared" si="249"/>
        <v>100</v>
      </c>
    </row>
    <row r="414" spans="1:12" ht="28.2" thickBot="1" x14ac:dyDescent="0.3">
      <c r="A414" s="687" t="s">
        <v>568</v>
      </c>
      <c r="B414" s="639"/>
      <c r="C414" s="688">
        <v>3861</v>
      </c>
      <c r="D414" s="689" t="s">
        <v>485</v>
      </c>
      <c r="E414" s="690">
        <v>300000</v>
      </c>
      <c r="F414" s="690">
        <v>50000</v>
      </c>
      <c r="G414" s="690">
        <f>F414/7.5345</f>
        <v>6636.1404207313026</v>
      </c>
      <c r="H414" s="690">
        <v>10000</v>
      </c>
      <c r="I414" s="690">
        <v>0</v>
      </c>
      <c r="J414" s="690">
        <f>SUM(H414+I414)</f>
        <v>10000</v>
      </c>
      <c r="K414" s="691">
        <f>J414*7.5345</f>
        <v>75345</v>
      </c>
      <c r="L414" s="650">
        <f t="shared" si="249"/>
        <v>100</v>
      </c>
    </row>
    <row r="415" spans="1:12" ht="14.4" thickTop="1" x14ac:dyDescent="0.25">
      <c r="A415" s="401"/>
      <c r="B415" s="451"/>
      <c r="C415" s="40"/>
      <c r="D415" s="396" t="s">
        <v>471</v>
      </c>
      <c r="E415" s="373"/>
      <c r="F415" s="372"/>
      <c r="G415" s="372"/>
      <c r="H415" s="372"/>
      <c r="I415" s="372"/>
      <c r="J415" s="372"/>
      <c r="K415" s="529"/>
      <c r="L415" s="849">
        <f>AVERAGE(J417/H417*100)</f>
        <v>100</v>
      </c>
    </row>
    <row r="416" spans="1:12" ht="13.8" x14ac:dyDescent="0.25">
      <c r="A416" s="401"/>
      <c r="B416" s="451"/>
      <c r="C416" s="40"/>
      <c r="D416" s="395" t="s">
        <v>668</v>
      </c>
      <c r="E416" s="363"/>
      <c r="F416" s="372"/>
      <c r="G416" s="372"/>
      <c r="H416" s="372"/>
      <c r="I416" s="372"/>
      <c r="J416" s="372"/>
      <c r="K416" s="529"/>
      <c r="L416" s="850"/>
    </row>
    <row r="417" spans="1:12" ht="31.2" x14ac:dyDescent="0.3">
      <c r="A417" s="425"/>
      <c r="B417" s="452"/>
      <c r="C417" s="97"/>
      <c r="D417" s="429" t="s">
        <v>587</v>
      </c>
      <c r="E417" s="426">
        <v>300000</v>
      </c>
      <c r="F417" s="424">
        <f t="shared" ref="F417:K419" si="250">SUM(F418)</f>
        <v>500000</v>
      </c>
      <c r="G417" s="424">
        <f t="shared" si="250"/>
        <v>66361.404207313026</v>
      </c>
      <c r="H417" s="424">
        <f>SUM(H418)</f>
        <v>65000</v>
      </c>
      <c r="I417" s="424">
        <f t="shared" ref="I417:J417" si="251">SUM(I418)</f>
        <v>0</v>
      </c>
      <c r="J417" s="424">
        <f t="shared" si="251"/>
        <v>65000</v>
      </c>
      <c r="K417" s="530">
        <f t="shared" si="250"/>
        <v>293845.5</v>
      </c>
      <c r="L417" s="851"/>
    </row>
    <row r="418" spans="1:12" ht="13.8" x14ac:dyDescent="0.25">
      <c r="A418" s="358" t="s">
        <v>569</v>
      </c>
      <c r="B418" s="447"/>
      <c r="C418" s="354">
        <v>42</v>
      </c>
      <c r="D418" s="365" t="s">
        <v>250</v>
      </c>
      <c r="E418" s="362">
        <v>300000</v>
      </c>
      <c r="F418" s="362">
        <f t="shared" si="250"/>
        <v>500000</v>
      </c>
      <c r="G418" s="362">
        <f t="shared" si="250"/>
        <v>66361.404207313026</v>
      </c>
      <c r="H418" s="362">
        <f>SUM(H419+H421)</f>
        <v>65000</v>
      </c>
      <c r="I418" s="362">
        <f t="shared" ref="I418:J418" si="252">SUM(I419+I421)</f>
        <v>0</v>
      </c>
      <c r="J418" s="362">
        <f t="shared" si="252"/>
        <v>65000</v>
      </c>
      <c r="K418" s="533">
        <f t="shared" si="250"/>
        <v>293845.5</v>
      </c>
      <c r="L418" s="734">
        <f>AVERAGE(J418/H418*100)</f>
        <v>100</v>
      </c>
    </row>
    <row r="419" spans="1:12" ht="13.8" x14ac:dyDescent="0.25">
      <c r="A419" s="355" t="s">
        <v>569</v>
      </c>
      <c r="B419" s="446"/>
      <c r="C419" s="367">
        <v>421</v>
      </c>
      <c r="D419" s="368" t="s">
        <v>97</v>
      </c>
      <c r="E419" s="363">
        <v>300000</v>
      </c>
      <c r="F419" s="363">
        <f t="shared" si="250"/>
        <v>500000</v>
      </c>
      <c r="G419" s="363">
        <f t="shared" si="250"/>
        <v>66361.404207313026</v>
      </c>
      <c r="H419" s="363">
        <f t="shared" si="250"/>
        <v>39000</v>
      </c>
      <c r="I419" s="363">
        <f t="shared" si="250"/>
        <v>0</v>
      </c>
      <c r="J419" s="363">
        <f t="shared" si="250"/>
        <v>39000</v>
      </c>
      <c r="K419" s="532">
        <f t="shared" si="250"/>
        <v>293845.5</v>
      </c>
      <c r="L419" s="384">
        <f t="shared" ref="L419:L437" si="253">AVERAGE(J419/H419*100)</f>
        <v>100</v>
      </c>
    </row>
    <row r="420" spans="1:12" s="554" customFormat="1" ht="15.6" x14ac:dyDescent="0.25">
      <c r="A420" s="356" t="s">
        <v>569</v>
      </c>
      <c r="B420" s="453"/>
      <c r="C420" s="399">
        <v>4214</v>
      </c>
      <c r="D420" s="370" t="s">
        <v>251</v>
      </c>
      <c r="E420" s="361">
        <v>300000</v>
      </c>
      <c r="F420" s="361">
        <v>500000</v>
      </c>
      <c r="G420" s="361">
        <f>F420/7.5345</f>
        <v>66361.404207313026</v>
      </c>
      <c r="H420" s="361">
        <v>39000</v>
      </c>
      <c r="I420" s="361">
        <v>0</v>
      </c>
      <c r="J420" s="361">
        <f>SUM(H420+I420)</f>
        <v>39000</v>
      </c>
      <c r="K420" s="535">
        <f>J420*7.5345</f>
        <v>293845.5</v>
      </c>
      <c r="L420" s="384">
        <f t="shared" si="253"/>
        <v>100</v>
      </c>
    </row>
    <row r="421" spans="1:12" s="28" customFormat="1" ht="13.8" x14ac:dyDescent="0.25">
      <c r="A421" s="366" t="s">
        <v>569</v>
      </c>
      <c r="B421" s="446"/>
      <c r="C421" s="367">
        <v>421</v>
      </c>
      <c r="D421" s="368" t="s">
        <v>97</v>
      </c>
      <c r="E421" s="363"/>
      <c r="F421" s="363"/>
      <c r="G421" s="363"/>
      <c r="H421" s="363">
        <f>SUM(H422)</f>
        <v>26000</v>
      </c>
      <c r="I421" s="363">
        <f t="shared" ref="I421:J421" si="254">SUM(I422)</f>
        <v>0</v>
      </c>
      <c r="J421" s="363">
        <f t="shared" si="254"/>
        <v>26000</v>
      </c>
      <c r="K421" s="532"/>
      <c r="L421" s="384">
        <f t="shared" si="253"/>
        <v>100</v>
      </c>
    </row>
    <row r="422" spans="1:12" ht="14.4" thickBot="1" x14ac:dyDescent="0.3">
      <c r="A422" s="603" t="s">
        <v>569</v>
      </c>
      <c r="B422" s="448"/>
      <c r="C422" s="386">
        <v>4214</v>
      </c>
      <c r="D422" s="387" t="s">
        <v>251</v>
      </c>
      <c r="E422" s="388"/>
      <c r="F422" s="388"/>
      <c r="G422" s="388"/>
      <c r="H422" s="388">
        <v>26000</v>
      </c>
      <c r="I422" s="388">
        <v>0</v>
      </c>
      <c r="J422" s="388">
        <f>SUM(H422+I422)</f>
        <v>26000</v>
      </c>
      <c r="K422" s="534"/>
      <c r="L422" s="388">
        <f t="shared" si="253"/>
        <v>100</v>
      </c>
    </row>
    <row r="423" spans="1:12" ht="21" customHeight="1" thickTop="1" x14ac:dyDescent="0.25">
      <c r="A423" s="116"/>
      <c r="B423" s="359"/>
      <c r="C423" s="613"/>
      <c r="D423" s="612" t="s">
        <v>594</v>
      </c>
      <c r="E423" s="611"/>
      <c r="F423" s="372"/>
      <c r="G423" s="372"/>
      <c r="H423" s="372"/>
      <c r="I423" s="372"/>
      <c r="J423" s="372"/>
      <c r="K423" s="529"/>
      <c r="L423" s="372"/>
    </row>
    <row r="424" spans="1:12" ht="18" customHeight="1" x14ac:dyDescent="0.25">
      <c r="A424" s="116"/>
      <c r="B424" s="359"/>
      <c r="C424" s="613"/>
      <c r="D424" s="612" t="s">
        <v>252</v>
      </c>
      <c r="E424" s="611"/>
      <c r="F424" s="372"/>
      <c r="G424" s="372"/>
      <c r="H424" s="372"/>
      <c r="I424" s="372"/>
      <c r="J424" s="372"/>
      <c r="K424" s="529"/>
      <c r="L424" s="372"/>
    </row>
    <row r="425" spans="1:12" ht="27.6" x14ac:dyDescent="0.25">
      <c r="A425" s="116"/>
      <c r="B425" s="359"/>
      <c r="C425" s="188"/>
      <c r="D425" s="369" t="s">
        <v>595</v>
      </c>
      <c r="E425" s="372"/>
      <c r="F425" s="372"/>
      <c r="G425" s="372"/>
      <c r="H425" s="614">
        <f>SUM(H426)</f>
        <v>0</v>
      </c>
      <c r="I425" s="614">
        <f t="shared" ref="I425:J425" si="255">SUM(I426)</f>
        <v>0</v>
      </c>
      <c r="J425" s="614">
        <f t="shared" si="255"/>
        <v>0</v>
      </c>
      <c r="K425" s="529"/>
      <c r="L425" s="384" t="e">
        <f t="shared" si="253"/>
        <v>#DIV/0!</v>
      </c>
    </row>
    <row r="426" spans="1:12" s="97" customFormat="1" ht="15.6" x14ac:dyDescent="0.3">
      <c r="A426" s="364" t="s">
        <v>596</v>
      </c>
      <c r="B426" s="446"/>
      <c r="C426" s="354">
        <v>42</v>
      </c>
      <c r="D426" s="368" t="s">
        <v>250</v>
      </c>
      <c r="E426" s="363"/>
      <c r="F426" s="363"/>
      <c r="G426" s="363"/>
      <c r="H426" s="362">
        <f>SUM(H427+H429)</f>
        <v>0</v>
      </c>
      <c r="I426" s="362">
        <f t="shared" ref="I426:J426" si="256">SUM(I427+I429)</f>
        <v>0</v>
      </c>
      <c r="J426" s="362">
        <f t="shared" si="256"/>
        <v>0</v>
      </c>
      <c r="K426" s="532"/>
      <c r="L426" s="384" t="e">
        <f t="shared" si="253"/>
        <v>#DIV/0!</v>
      </c>
    </row>
    <row r="427" spans="1:12" s="28" customFormat="1" ht="13.8" x14ac:dyDescent="0.25">
      <c r="A427" s="366" t="s">
        <v>596</v>
      </c>
      <c r="B427" s="446"/>
      <c r="C427" s="367">
        <v>421</v>
      </c>
      <c r="D427" s="368" t="s">
        <v>97</v>
      </c>
      <c r="E427" s="363"/>
      <c r="F427" s="363"/>
      <c r="G427" s="363"/>
      <c r="H427" s="363">
        <f>SUM(H428)</f>
        <v>0</v>
      </c>
      <c r="I427" s="363">
        <f t="shared" ref="I427:J427" si="257">SUM(I428)</f>
        <v>0</v>
      </c>
      <c r="J427" s="363">
        <f t="shared" si="257"/>
        <v>0</v>
      </c>
      <c r="K427" s="532"/>
      <c r="L427" s="384" t="e">
        <f t="shared" si="253"/>
        <v>#DIV/0!</v>
      </c>
    </row>
    <row r="428" spans="1:12" s="390" customFormat="1" ht="14.4" thickBot="1" x14ac:dyDescent="0.3">
      <c r="A428" s="366" t="s">
        <v>596</v>
      </c>
      <c r="B428" s="446"/>
      <c r="C428" s="367">
        <v>4214</v>
      </c>
      <c r="D428" s="368" t="s">
        <v>251</v>
      </c>
      <c r="E428" s="363"/>
      <c r="F428" s="363"/>
      <c r="G428" s="363"/>
      <c r="H428" s="363">
        <v>0</v>
      </c>
      <c r="I428" s="363">
        <v>0</v>
      </c>
      <c r="J428" s="363">
        <f>SUM(H428+I428)</f>
        <v>0</v>
      </c>
      <c r="K428" s="532"/>
      <c r="L428" s="384" t="e">
        <f t="shared" si="253"/>
        <v>#DIV/0!</v>
      </c>
    </row>
    <row r="429" spans="1:12" ht="14.4" thickTop="1" x14ac:dyDescent="0.25">
      <c r="A429" s="366" t="s">
        <v>596</v>
      </c>
      <c r="B429" s="446"/>
      <c r="C429" s="367">
        <v>421</v>
      </c>
      <c r="D429" s="368" t="s">
        <v>97</v>
      </c>
      <c r="E429" s="363"/>
      <c r="F429" s="363"/>
      <c r="G429" s="363"/>
      <c r="H429" s="363">
        <f>SUM(H430)</f>
        <v>0</v>
      </c>
      <c r="I429" s="363">
        <f t="shared" ref="I429:J429" si="258">SUM(I430)</f>
        <v>0</v>
      </c>
      <c r="J429" s="363">
        <f t="shared" si="258"/>
        <v>0</v>
      </c>
      <c r="K429" s="532"/>
      <c r="L429" s="384" t="e">
        <f t="shared" si="253"/>
        <v>#DIV/0!</v>
      </c>
    </row>
    <row r="430" spans="1:12" ht="14.4" thickBot="1" x14ac:dyDescent="0.3">
      <c r="A430" s="603" t="s">
        <v>596</v>
      </c>
      <c r="B430" s="448"/>
      <c r="C430" s="386">
        <v>4214</v>
      </c>
      <c r="D430" s="387" t="s">
        <v>251</v>
      </c>
      <c r="E430" s="388"/>
      <c r="F430" s="388"/>
      <c r="G430" s="388"/>
      <c r="H430" s="388">
        <v>0</v>
      </c>
      <c r="I430" s="388">
        <v>0</v>
      </c>
      <c r="J430" s="388">
        <f>SUM(H430+I430)</f>
        <v>0</v>
      </c>
      <c r="K430" s="534"/>
      <c r="L430" s="384" t="e">
        <f t="shared" ref="L430" si="259">AVERAGE(J430/H430*100)</f>
        <v>#DIV/0!</v>
      </c>
    </row>
    <row r="431" spans="1:12" ht="14.4" thickTop="1" x14ac:dyDescent="0.25">
      <c r="A431" s="652"/>
      <c r="B431" s="672"/>
      <c r="C431" s="654"/>
      <c r="D431" s="644" t="s">
        <v>471</v>
      </c>
      <c r="E431" s="655"/>
      <c r="F431" s="617"/>
      <c r="G431" s="617"/>
      <c r="H431" s="617"/>
      <c r="I431" s="617"/>
      <c r="J431" s="617"/>
      <c r="K431" s="645"/>
      <c r="L431" s="846" t="e">
        <f>AVERAGE(J433/H433*100)</f>
        <v>#DIV/0!</v>
      </c>
    </row>
    <row r="432" spans="1:12" ht="13.8" x14ac:dyDescent="0.25">
      <c r="A432" s="652"/>
      <c r="B432" s="672"/>
      <c r="C432" s="654"/>
      <c r="D432" s="665" t="s">
        <v>668</v>
      </c>
      <c r="E432" s="615"/>
      <c r="F432" s="617"/>
      <c r="G432" s="617"/>
      <c r="H432" s="617"/>
      <c r="I432" s="617"/>
      <c r="J432" s="617"/>
      <c r="K432" s="645"/>
      <c r="L432" s="847"/>
    </row>
    <row r="433" spans="1:12" ht="31.2" x14ac:dyDescent="0.3">
      <c r="A433" s="656"/>
      <c r="B433" s="668"/>
      <c r="C433" s="658"/>
      <c r="D433" s="616" t="s">
        <v>688</v>
      </c>
      <c r="E433" s="624">
        <v>300000</v>
      </c>
      <c r="F433" s="602" t="e">
        <f t="shared" ref="F433:K433" si="260">SUM(F434)</f>
        <v>#REF!</v>
      </c>
      <c r="G433" s="602" t="e">
        <f t="shared" si="260"/>
        <v>#REF!</v>
      </c>
      <c r="H433" s="602">
        <f>SUM(H434)</f>
        <v>0</v>
      </c>
      <c r="I433" s="602">
        <f t="shared" ref="I433:J434" si="261">SUM(I434)</f>
        <v>16500</v>
      </c>
      <c r="J433" s="602">
        <f t="shared" si="261"/>
        <v>16500</v>
      </c>
      <c r="K433" s="660" t="e">
        <f t="shared" si="260"/>
        <v>#REF!</v>
      </c>
      <c r="L433" s="848"/>
    </row>
    <row r="434" spans="1:12" ht="13.8" x14ac:dyDescent="0.25">
      <c r="A434" s="673" t="s">
        <v>569</v>
      </c>
      <c r="B434" s="626"/>
      <c r="C434" s="627">
        <v>42</v>
      </c>
      <c r="D434" s="628" t="s">
        <v>250</v>
      </c>
      <c r="E434" s="629">
        <v>300000</v>
      </c>
      <c r="F434" s="629" t="e">
        <f>SUM(#REF!)</f>
        <v>#REF!</v>
      </c>
      <c r="G434" s="629" t="e">
        <f>SUM(#REF!)</f>
        <v>#REF!</v>
      </c>
      <c r="H434" s="629">
        <f>SUM(H435)</f>
        <v>0</v>
      </c>
      <c r="I434" s="629">
        <f t="shared" si="261"/>
        <v>16500</v>
      </c>
      <c r="J434" s="629">
        <f t="shared" si="261"/>
        <v>16500</v>
      </c>
      <c r="K434" s="630" t="e">
        <f>SUM(#REF!)</f>
        <v>#REF!</v>
      </c>
      <c r="L434" s="735" t="e">
        <f>AVERAGE(J434/H434*100)</f>
        <v>#DIV/0!</v>
      </c>
    </row>
    <row r="435" spans="1:12" ht="13.8" x14ac:dyDescent="0.25">
      <c r="A435" s="623" t="s">
        <v>569</v>
      </c>
      <c r="B435" s="631"/>
      <c r="C435" s="632">
        <v>421</v>
      </c>
      <c r="D435" s="621" t="s">
        <v>97</v>
      </c>
      <c r="E435" s="615"/>
      <c r="F435" s="615"/>
      <c r="G435" s="615"/>
      <c r="H435" s="615">
        <f>SUM(H436)</f>
        <v>0</v>
      </c>
      <c r="I435" s="615">
        <f t="shared" ref="I435" si="262">SUM(I436)</f>
        <v>16500</v>
      </c>
      <c r="J435" s="615">
        <f t="shared" ref="J435" si="263">SUM(J436)</f>
        <v>16500</v>
      </c>
      <c r="K435" s="622"/>
      <c r="L435" s="650" t="e">
        <f t="shared" ref="L435:L436" si="264">AVERAGE(J435/H435*100)</f>
        <v>#DIV/0!</v>
      </c>
    </row>
    <row r="436" spans="1:12" ht="14.4" thickBot="1" x14ac:dyDescent="0.3">
      <c r="A436" s="675" t="s">
        <v>569</v>
      </c>
      <c r="B436" s="639"/>
      <c r="C436" s="640">
        <v>4214</v>
      </c>
      <c r="D436" s="641" t="s">
        <v>251</v>
      </c>
      <c r="E436" s="642"/>
      <c r="F436" s="642"/>
      <c r="G436" s="642"/>
      <c r="H436" s="642">
        <v>0</v>
      </c>
      <c r="I436" s="642">
        <v>16500</v>
      </c>
      <c r="J436" s="642">
        <f>SUM(H436+I436)</f>
        <v>16500</v>
      </c>
      <c r="K436" s="643"/>
      <c r="L436" s="642" t="e">
        <f t="shared" si="264"/>
        <v>#DIV/0!</v>
      </c>
    </row>
    <row r="437" spans="1:12" ht="18.600000000000001" thickTop="1" thickBot="1" x14ac:dyDescent="0.3">
      <c r="A437" s="898" t="s">
        <v>623</v>
      </c>
      <c r="B437" s="899"/>
      <c r="C437" s="899"/>
      <c r="D437" s="900"/>
      <c r="E437" s="606" t="e">
        <f>SUM(E446+#REF!+E454+E460+E472+E479+#REF!+E486+#REF!+E492)</f>
        <v>#REF!</v>
      </c>
      <c r="F437" s="606" t="e">
        <f>SUM(F446+F454+F460+F472+F479+#REF!+F486+#REF!+F492+#REF!+F499+F522)</f>
        <v>#REF!</v>
      </c>
      <c r="G437" s="606" t="e">
        <f>SUM(G446+G454+G460+G472+G479+#REF!+G486+#REF!+G492+#REF!+G499+G522)</f>
        <v>#REF!</v>
      </c>
      <c r="H437" s="606">
        <f t="shared" ref="H437:I437" si="265">SUM(H443+H446+H454+H460+H466+H472+H479+H486+H492+H499+H522+H530+H537+H545)</f>
        <v>1589760</v>
      </c>
      <c r="I437" s="606">
        <f t="shared" si="265"/>
        <v>103600</v>
      </c>
      <c r="J437" s="606">
        <f>SUM(J443+J446+J454+J460+J466+J472+J479+J486+J492+J499+J522+J530+J537+J545)</f>
        <v>1693360</v>
      </c>
      <c r="K437" s="607" t="e">
        <f>SUM(K446+K454+K460+K472+K479+#REF!+K486+#REF!+K492+#REF!+K499+K522)</f>
        <v>#REF!</v>
      </c>
      <c r="L437" s="606">
        <f t="shared" si="253"/>
        <v>106.51670692431563</v>
      </c>
    </row>
    <row r="438" spans="1:12" s="97" customFormat="1" ht="16.8" thickTop="1" thickBot="1" x14ac:dyDescent="0.35">
      <c r="A438" s="401"/>
      <c r="B438" s="40"/>
      <c r="C438" s="40"/>
      <c r="D438" s="396" t="s">
        <v>471</v>
      </c>
      <c r="E438" s="373"/>
      <c r="F438" s="372"/>
      <c r="G438" s="372"/>
      <c r="H438" s="372"/>
      <c r="I438" s="372"/>
      <c r="J438" s="372"/>
      <c r="K438" s="529"/>
      <c r="L438" s="861">
        <f>AVERAGE(J440/H440*100)</f>
        <v>100</v>
      </c>
    </row>
    <row r="439" spans="1:12" s="28" customFormat="1" ht="20.25" customHeight="1" x14ac:dyDescent="0.25">
      <c r="A439" s="401"/>
      <c r="B439" s="40"/>
      <c r="C439" s="40"/>
      <c r="D439" s="395" t="s">
        <v>662</v>
      </c>
      <c r="E439" s="363"/>
      <c r="F439" s="372"/>
      <c r="G439" s="372"/>
      <c r="H439" s="372"/>
      <c r="I439" s="372"/>
      <c r="J439" s="372"/>
      <c r="K439" s="529"/>
      <c r="L439" s="850"/>
    </row>
    <row r="440" spans="1:12" s="390" customFormat="1" ht="31.8" thickBot="1" x14ac:dyDescent="0.35">
      <c r="A440" s="425"/>
      <c r="B440" s="97"/>
      <c r="C440" s="97"/>
      <c r="D440" s="429" t="s">
        <v>685</v>
      </c>
      <c r="E440" s="426">
        <v>120000</v>
      </c>
      <c r="F440" s="424">
        <f t="shared" ref="F440:K442" si="266">SUM(F441)</f>
        <v>100000</v>
      </c>
      <c r="G440" s="424">
        <f t="shared" si="266"/>
        <v>13272.280841462605</v>
      </c>
      <c r="H440" s="424">
        <f t="shared" si="266"/>
        <v>100000</v>
      </c>
      <c r="I440" s="424">
        <f t="shared" si="266"/>
        <v>0</v>
      </c>
      <c r="J440" s="424">
        <f t="shared" si="266"/>
        <v>100000</v>
      </c>
      <c r="K440" s="530">
        <f t="shared" si="266"/>
        <v>753450</v>
      </c>
      <c r="L440" s="851"/>
    </row>
    <row r="441" spans="1:12" ht="14.4" thickTop="1" x14ac:dyDescent="0.25">
      <c r="A441" s="358" t="s">
        <v>565</v>
      </c>
      <c r="B441" s="447"/>
      <c r="C441" s="354">
        <v>41</v>
      </c>
      <c r="D441" s="365" t="s">
        <v>248</v>
      </c>
      <c r="E441" s="362">
        <v>120000</v>
      </c>
      <c r="F441" s="362">
        <f t="shared" si="266"/>
        <v>100000</v>
      </c>
      <c r="G441" s="362">
        <f t="shared" si="266"/>
        <v>13272.280841462605</v>
      </c>
      <c r="H441" s="362">
        <f t="shared" si="266"/>
        <v>100000</v>
      </c>
      <c r="I441" s="362">
        <f t="shared" si="266"/>
        <v>0</v>
      </c>
      <c r="J441" s="362">
        <f t="shared" si="266"/>
        <v>100000</v>
      </c>
      <c r="K441" s="533">
        <f t="shared" si="266"/>
        <v>753450</v>
      </c>
      <c r="L441" s="734">
        <f>AVERAGE(J441/H441*100)</f>
        <v>100</v>
      </c>
    </row>
    <row r="442" spans="1:12" ht="13.8" x14ac:dyDescent="0.25">
      <c r="A442" s="355" t="s">
        <v>565</v>
      </c>
      <c r="B442" s="446"/>
      <c r="C442" s="367">
        <v>411</v>
      </c>
      <c r="D442" s="368" t="s">
        <v>95</v>
      </c>
      <c r="E442" s="363">
        <v>120000</v>
      </c>
      <c r="F442" s="363">
        <f t="shared" si="266"/>
        <v>100000</v>
      </c>
      <c r="G442" s="363">
        <f t="shared" si="266"/>
        <v>13272.280841462605</v>
      </c>
      <c r="H442" s="363">
        <f t="shared" si="266"/>
        <v>100000</v>
      </c>
      <c r="I442" s="363">
        <f t="shared" si="266"/>
        <v>0</v>
      </c>
      <c r="J442" s="363">
        <f t="shared" si="266"/>
        <v>100000</v>
      </c>
      <c r="K442" s="532">
        <f t="shared" si="266"/>
        <v>753450</v>
      </c>
      <c r="L442" s="384">
        <f t="shared" ref="L442:L443" si="267">AVERAGE(J442/H442*100)</f>
        <v>100</v>
      </c>
    </row>
    <row r="443" spans="1:12" s="97" customFormat="1" ht="16.2" thickBot="1" x14ac:dyDescent="0.35">
      <c r="A443" s="404" t="s">
        <v>462</v>
      </c>
      <c r="B443" s="448"/>
      <c r="C443" s="386">
        <v>4111</v>
      </c>
      <c r="D443" s="387" t="s">
        <v>40</v>
      </c>
      <c r="E443" s="388">
        <v>120000</v>
      </c>
      <c r="F443" s="388">
        <v>100000</v>
      </c>
      <c r="G443" s="388">
        <f>F443/7.5345</f>
        <v>13272.280841462605</v>
      </c>
      <c r="H443" s="388">
        <v>100000</v>
      </c>
      <c r="I443" s="388">
        <v>0</v>
      </c>
      <c r="J443" s="388">
        <f>SUM(H443+I443)</f>
        <v>100000</v>
      </c>
      <c r="K443" s="534">
        <f>J443*7.5345</f>
        <v>753450</v>
      </c>
      <c r="L443" s="384">
        <f t="shared" si="267"/>
        <v>100</v>
      </c>
    </row>
    <row r="444" spans="1:12" s="28" customFormat="1" ht="28.2" thickTop="1" x14ac:dyDescent="0.25">
      <c r="A444" s="401"/>
      <c r="B444" s="40"/>
      <c r="C444" s="40"/>
      <c r="D444" s="396" t="s">
        <v>406</v>
      </c>
      <c r="E444" s="373"/>
      <c r="F444" s="372"/>
      <c r="G444" s="372"/>
      <c r="H444" s="372"/>
      <c r="I444" s="372"/>
      <c r="J444" s="372"/>
      <c r="K444" s="529"/>
      <c r="L444" s="861">
        <f>AVERAGE(J446/H446*100)</f>
        <v>100</v>
      </c>
    </row>
    <row r="445" spans="1:12" ht="14.4" thickBot="1" x14ac:dyDescent="0.3">
      <c r="A445" s="401"/>
      <c r="B445" s="40"/>
      <c r="C445" s="40"/>
      <c r="D445" s="396" t="s">
        <v>662</v>
      </c>
      <c r="E445" s="363"/>
      <c r="F445" s="372"/>
      <c r="G445" s="372"/>
      <c r="H445" s="372"/>
      <c r="I445" s="372"/>
      <c r="J445" s="372"/>
      <c r="K445" s="529"/>
      <c r="L445" s="850"/>
    </row>
    <row r="446" spans="1:12" s="390" customFormat="1" ht="16.2" hidden="1" thickBot="1" x14ac:dyDescent="0.35">
      <c r="A446" s="425"/>
      <c r="B446" s="97"/>
      <c r="C446" s="97"/>
      <c r="D446" s="429" t="s">
        <v>441</v>
      </c>
      <c r="E446" s="426">
        <v>247000</v>
      </c>
      <c r="F446" s="424">
        <f t="shared" ref="F446:K446" si="268">SUM(F447)</f>
        <v>230000</v>
      </c>
      <c r="G446" s="424">
        <f t="shared" si="268"/>
        <v>30526.245935363993</v>
      </c>
      <c r="H446" s="424">
        <f t="shared" si="268"/>
        <v>60000</v>
      </c>
      <c r="I446" s="424">
        <f t="shared" si="268"/>
        <v>0</v>
      </c>
      <c r="J446" s="424">
        <f t="shared" si="268"/>
        <v>60000</v>
      </c>
      <c r="K446" s="530">
        <f t="shared" si="268"/>
        <v>452070</v>
      </c>
      <c r="L446" s="851"/>
    </row>
    <row r="447" spans="1:12" s="28" customFormat="1" ht="14.4" hidden="1" thickBot="1" x14ac:dyDescent="0.3">
      <c r="A447" s="358" t="s">
        <v>570</v>
      </c>
      <c r="B447" s="447"/>
      <c r="C447" s="354">
        <v>32</v>
      </c>
      <c r="D447" s="365" t="s">
        <v>47</v>
      </c>
      <c r="E447" s="362">
        <v>247000</v>
      </c>
      <c r="F447" s="362">
        <f t="shared" ref="F447:K447" si="269">SUM(F448+F450)</f>
        <v>230000</v>
      </c>
      <c r="G447" s="362">
        <f t="shared" si="269"/>
        <v>30526.245935363993</v>
      </c>
      <c r="H447" s="362">
        <f t="shared" si="269"/>
        <v>60000</v>
      </c>
      <c r="I447" s="362">
        <f t="shared" si="269"/>
        <v>0</v>
      </c>
      <c r="J447" s="362">
        <f t="shared" si="269"/>
        <v>60000</v>
      </c>
      <c r="K447" s="533">
        <f t="shared" si="269"/>
        <v>452070</v>
      </c>
      <c r="L447" s="734">
        <f>AVERAGE(J447/H447*100)</f>
        <v>100</v>
      </c>
    </row>
    <row r="448" spans="1:12" ht="14.4" hidden="1" thickBot="1" x14ac:dyDescent="0.3">
      <c r="A448" s="355" t="s">
        <v>570</v>
      </c>
      <c r="B448" s="446"/>
      <c r="C448" s="367">
        <v>322</v>
      </c>
      <c r="D448" s="368" t="s">
        <v>52</v>
      </c>
      <c r="E448" s="363">
        <v>30000</v>
      </c>
      <c r="F448" s="363">
        <f t="shared" ref="F448:K448" si="270">SUM(F449)</f>
        <v>30000</v>
      </c>
      <c r="G448" s="363">
        <f t="shared" si="270"/>
        <v>3981.6842524387812</v>
      </c>
      <c r="H448" s="363">
        <f t="shared" si="270"/>
        <v>2000</v>
      </c>
      <c r="I448" s="363">
        <f t="shared" si="270"/>
        <v>0</v>
      </c>
      <c r="J448" s="363">
        <f t="shared" si="270"/>
        <v>2000</v>
      </c>
      <c r="K448" s="532">
        <f t="shared" si="270"/>
        <v>15069</v>
      </c>
      <c r="L448" s="384">
        <f t="shared" ref="L448:L451" si="271">AVERAGE(J448/H448*100)</f>
        <v>100</v>
      </c>
    </row>
    <row r="449" spans="1:12" ht="14.4" hidden="1" thickBot="1" x14ac:dyDescent="0.3">
      <c r="A449" s="355" t="s">
        <v>570</v>
      </c>
      <c r="B449" s="446"/>
      <c r="C449" s="367">
        <v>3224</v>
      </c>
      <c r="D449" s="368" t="s">
        <v>189</v>
      </c>
      <c r="E449" s="363">
        <v>30000</v>
      </c>
      <c r="F449" s="363">
        <v>30000</v>
      </c>
      <c r="G449" s="363">
        <f>F449/7.5345</f>
        <v>3981.6842524387812</v>
      </c>
      <c r="H449" s="363">
        <v>2000</v>
      </c>
      <c r="I449" s="363">
        <v>0</v>
      </c>
      <c r="J449" s="363">
        <f>SUM(H449+I449)</f>
        <v>2000</v>
      </c>
      <c r="K449" s="532">
        <f>J449*7.5345</f>
        <v>15069</v>
      </c>
      <c r="L449" s="384">
        <f t="shared" si="271"/>
        <v>100</v>
      </c>
    </row>
    <row r="450" spans="1:12" ht="14.4" hidden="1" thickBot="1" x14ac:dyDescent="0.3">
      <c r="A450" s="355" t="s">
        <v>570</v>
      </c>
      <c r="B450" s="446"/>
      <c r="C450" s="367">
        <v>323</v>
      </c>
      <c r="D450" s="368" t="s">
        <v>56</v>
      </c>
      <c r="E450" s="363">
        <v>217000</v>
      </c>
      <c r="F450" s="363">
        <f t="shared" ref="F450:K450" si="272">SUM(F451)</f>
        <v>200000</v>
      </c>
      <c r="G450" s="363">
        <f t="shared" si="272"/>
        <v>26544.56168292521</v>
      </c>
      <c r="H450" s="363">
        <f t="shared" si="272"/>
        <v>58000</v>
      </c>
      <c r="I450" s="363">
        <f t="shared" si="272"/>
        <v>0</v>
      </c>
      <c r="J450" s="363">
        <f t="shared" si="272"/>
        <v>58000</v>
      </c>
      <c r="K450" s="363">
        <f t="shared" si="272"/>
        <v>437001</v>
      </c>
      <c r="L450" s="384">
        <f t="shared" si="271"/>
        <v>100</v>
      </c>
    </row>
    <row r="451" spans="1:12" ht="14.4" hidden="1" thickBot="1" x14ac:dyDescent="0.3">
      <c r="A451" s="404" t="s">
        <v>570</v>
      </c>
      <c r="B451" s="448"/>
      <c r="C451" s="386">
        <v>3232</v>
      </c>
      <c r="D451" s="387" t="s">
        <v>242</v>
      </c>
      <c r="E451" s="388">
        <v>217000</v>
      </c>
      <c r="F451" s="388">
        <v>200000</v>
      </c>
      <c r="G451" s="388">
        <f>F451/7.5345</f>
        <v>26544.56168292521</v>
      </c>
      <c r="H451" s="388">
        <v>58000</v>
      </c>
      <c r="I451" s="388">
        <v>0</v>
      </c>
      <c r="J451" s="388">
        <f>SUM(H451+I451)</f>
        <v>58000</v>
      </c>
      <c r="K451" s="534">
        <f>J451*7.5345</f>
        <v>437001</v>
      </c>
      <c r="L451" s="384">
        <f t="shared" si="271"/>
        <v>100</v>
      </c>
    </row>
    <row r="452" spans="1:12" s="592" customFormat="1" ht="29.4" thickTop="1" thickBot="1" x14ac:dyDescent="0.35">
      <c r="A452" s="401"/>
      <c r="B452" s="451"/>
      <c r="C452" s="40"/>
      <c r="D452" s="396" t="s">
        <v>406</v>
      </c>
      <c r="E452" s="373"/>
      <c r="F452" s="372"/>
      <c r="G452" s="372"/>
      <c r="H452" s="372"/>
      <c r="I452" s="372"/>
      <c r="J452" s="372"/>
      <c r="K452" s="529"/>
      <c r="L452" s="858" t="e">
        <f>AVERAGE(I454/H454*100)</f>
        <v>#DIV/0!</v>
      </c>
    </row>
    <row r="453" spans="1:12" s="28" customFormat="1" ht="14.4" thickTop="1" x14ac:dyDescent="0.25">
      <c r="A453" s="401"/>
      <c r="B453" s="451"/>
      <c r="C453" s="40"/>
      <c r="D453" s="396" t="s">
        <v>254</v>
      </c>
      <c r="E453" s="363"/>
      <c r="F453" s="372"/>
      <c r="G453" s="372"/>
      <c r="H453" s="372"/>
      <c r="I453" s="372"/>
      <c r="J453" s="372"/>
      <c r="K453" s="529"/>
      <c r="L453" s="859"/>
    </row>
    <row r="454" spans="1:12" ht="31.2" x14ac:dyDescent="0.3">
      <c r="A454" s="425"/>
      <c r="B454" s="452"/>
      <c r="C454" s="97"/>
      <c r="D454" s="429" t="s">
        <v>492</v>
      </c>
      <c r="E454" s="426">
        <v>760000</v>
      </c>
      <c r="F454" s="424">
        <f t="shared" ref="F454:K456" si="273">SUM(F455)</f>
        <v>500000</v>
      </c>
      <c r="G454" s="424">
        <f t="shared" si="273"/>
        <v>66361.404207313026</v>
      </c>
      <c r="H454" s="424">
        <f t="shared" si="273"/>
        <v>0</v>
      </c>
      <c r="I454" s="424">
        <f t="shared" si="273"/>
        <v>0</v>
      </c>
      <c r="J454" s="424">
        <f t="shared" si="273"/>
        <v>0</v>
      </c>
      <c r="K454" s="530">
        <f t="shared" si="273"/>
        <v>0</v>
      </c>
      <c r="L454" s="860"/>
    </row>
    <row r="455" spans="1:12" ht="13.8" x14ac:dyDescent="0.25">
      <c r="A455" s="358" t="s">
        <v>571</v>
      </c>
      <c r="B455" s="447"/>
      <c r="C455" s="354">
        <v>42</v>
      </c>
      <c r="D455" s="365" t="s">
        <v>250</v>
      </c>
      <c r="E455" s="362">
        <v>760000</v>
      </c>
      <c r="F455" s="362">
        <f t="shared" si="273"/>
        <v>500000</v>
      </c>
      <c r="G455" s="362">
        <f t="shared" si="273"/>
        <v>66361.404207313026</v>
      </c>
      <c r="H455" s="362">
        <f t="shared" si="273"/>
        <v>0</v>
      </c>
      <c r="I455" s="362">
        <f t="shared" si="273"/>
        <v>0</v>
      </c>
      <c r="J455" s="362">
        <f t="shared" si="273"/>
        <v>0</v>
      </c>
      <c r="K455" s="533">
        <f t="shared" si="273"/>
        <v>0</v>
      </c>
      <c r="L455" s="384" t="e">
        <f>AVERAGE(I455/H455*100)</f>
        <v>#DIV/0!</v>
      </c>
    </row>
    <row r="456" spans="1:12" s="28" customFormat="1" ht="13.8" x14ac:dyDescent="0.25">
      <c r="A456" s="355" t="s">
        <v>571</v>
      </c>
      <c r="B456" s="446"/>
      <c r="C456" s="367">
        <v>421</v>
      </c>
      <c r="D456" s="368" t="s">
        <v>97</v>
      </c>
      <c r="E456" s="363">
        <v>760000</v>
      </c>
      <c r="F456" s="363">
        <f t="shared" si="273"/>
        <v>500000</v>
      </c>
      <c r="G456" s="363">
        <f t="shared" si="273"/>
        <v>66361.404207313026</v>
      </c>
      <c r="H456" s="363">
        <f t="shared" si="273"/>
        <v>0</v>
      </c>
      <c r="I456" s="363">
        <f t="shared" si="273"/>
        <v>0</v>
      </c>
      <c r="J456" s="363">
        <f t="shared" si="273"/>
        <v>0</v>
      </c>
      <c r="K456" s="532">
        <f t="shared" si="273"/>
        <v>0</v>
      </c>
      <c r="L456" s="384" t="e">
        <f>AVERAGE(I456/H456*100)</f>
        <v>#DIV/0!</v>
      </c>
    </row>
    <row r="457" spans="1:12" ht="14.4" thickBot="1" x14ac:dyDescent="0.3">
      <c r="A457" s="404" t="s">
        <v>571</v>
      </c>
      <c r="B457" s="448"/>
      <c r="C457" s="386">
        <v>4214</v>
      </c>
      <c r="D457" s="387" t="s">
        <v>119</v>
      </c>
      <c r="E457" s="388">
        <v>760000</v>
      </c>
      <c r="F457" s="388">
        <v>500000</v>
      </c>
      <c r="G457" s="388">
        <f>F457/7.5345</f>
        <v>66361.404207313026</v>
      </c>
      <c r="H457" s="388">
        <v>0</v>
      </c>
      <c r="I457" s="388">
        <v>0</v>
      </c>
      <c r="J457" s="388">
        <v>0</v>
      </c>
      <c r="K457" s="534">
        <f>J457*7.5345</f>
        <v>0</v>
      </c>
      <c r="L457" s="438" t="e">
        <f>AVERAGE(I457/H457*100)</f>
        <v>#DIV/0!</v>
      </c>
    </row>
    <row r="458" spans="1:12" ht="28.2" thickTop="1" x14ac:dyDescent="0.25">
      <c r="A458" s="401"/>
      <c r="B458" s="451"/>
      <c r="C458" s="40"/>
      <c r="D458" s="396" t="s">
        <v>406</v>
      </c>
      <c r="E458" s="373"/>
      <c r="F458" s="372"/>
      <c r="G458" s="372"/>
      <c r="H458" s="372"/>
      <c r="I458" s="372"/>
      <c r="J458" s="372"/>
      <c r="K458" s="529"/>
      <c r="L458" s="849">
        <f>AVERAGE(J460/H460*100)</f>
        <v>25</v>
      </c>
    </row>
    <row r="459" spans="1:12" ht="13.8" x14ac:dyDescent="0.25">
      <c r="A459" s="401"/>
      <c r="B459" s="451"/>
      <c r="C459" s="40"/>
      <c r="D459" s="396" t="s">
        <v>669</v>
      </c>
      <c r="E459" s="363"/>
      <c r="F459" s="372"/>
      <c r="G459" s="372"/>
      <c r="H459" s="372"/>
      <c r="I459" s="372"/>
      <c r="J459" s="372"/>
      <c r="K459" s="529"/>
      <c r="L459" s="850"/>
    </row>
    <row r="460" spans="1:12" ht="15.6" x14ac:dyDescent="0.3">
      <c r="A460" s="425"/>
      <c r="B460" s="452"/>
      <c r="C460" s="97"/>
      <c r="D460" s="429" t="s">
        <v>686</v>
      </c>
      <c r="E460" s="426">
        <v>256000</v>
      </c>
      <c r="F460" s="424">
        <f t="shared" ref="F460:K462" si="274">SUM(F461)</f>
        <v>150000</v>
      </c>
      <c r="G460" s="424">
        <f t="shared" si="274"/>
        <v>19908.421262193908</v>
      </c>
      <c r="H460" s="424">
        <f t="shared" si="274"/>
        <v>20000</v>
      </c>
      <c r="I460" s="424">
        <f t="shared" si="274"/>
        <v>-15000</v>
      </c>
      <c r="J460" s="424">
        <f t="shared" si="274"/>
        <v>5000</v>
      </c>
      <c r="K460" s="530">
        <f t="shared" si="274"/>
        <v>37672.5</v>
      </c>
      <c r="L460" s="851"/>
    </row>
    <row r="461" spans="1:12" s="97" customFormat="1" ht="15.6" x14ac:dyDescent="0.3">
      <c r="A461" s="358" t="s">
        <v>572</v>
      </c>
      <c r="B461" s="447"/>
      <c r="C461" s="354">
        <v>42</v>
      </c>
      <c r="D461" s="365" t="s">
        <v>250</v>
      </c>
      <c r="E461" s="362">
        <v>256000</v>
      </c>
      <c r="F461" s="362">
        <f t="shared" si="274"/>
        <v>150000</v>
      </c>
      <c r="G461" s="362">
        <f t="shared" si="274"/>
        <v>19908.421262193908</v>
      </c>
      <c r="H461" s="362">
        <f t="shared" si="274"/>
        <v>20000</v>
      </c>
      <c r="I461" s="362">
        <f t="shared" si="274"/>
        <v>-15000</v>
      </c>
      <c r="J461" s="362">
        <f t="shared" si="274"/>
        <v>5000</v>
      </c>
      <c r="K461" s="533">
        <f t="shared" si="274"/>
        <v>37672.5</v>
      </c>
      <c r="L461" s="734">
        <f>AVERAGE(J461/H461*100)</f>
        <v>25</v>
      </c>
    </row>
    <row r="462" spans="1:12" s="28" customFormat="1" ht="13.8" x14ac:dyDescent="0.25">
      <c r="A462" s="355" t="s">
        <v>572</v>
      </c>
      <c r="B462" s="446"/>
      <c r="C462" s="367">
        <v>421</v>
      </c>
      <c r="D462" s="368" t="s">
        <v>97</v>
      </c>
      <c r="E462" s="363">
        <v>256000</v>
      </c>
      <c r="F462" s="363">
        <f t="shared" si="274"/>
        <v>150000</v>
      </c>
      <c r="G462" s="363">
        <f t="shared" si="274"/>
        <v>19908.421262193908</v>
      </c>
      <c r="H462" s="363">
        <f t="shared" si="274"/>
        <v>20000</v>
      </c>
      <c r="I462" s="363">
        <f t="shared" si="274"/>
        <v>-15000</v>
      </c>
      <c r="J462" s="363">
        <f t="shared" si="274"/>
        <v>5000</v>
      </c>
      <c r="K462" s="532">
        <f t="shared" si="274"/>
        <v>37672.5</v>
      </c>
      <c r="L462" s="384">
        <f t="shared" ref="L462:L463" si="275">AVERAGE(J462/H462*100)</f>
        <v>25</v>
      </c>
    </row>
    <row r="463" spans="1:12" ht="14.4" thickBot="1" x14ac:dyDescent="0.3">
      <c r="A463" s="404" t="s">
        <v>572</v>
      </c>
      <c r="B463" s="448"/>
      <c r="C463" s="386">
        <v>4214</v>
      </c>
      <c r="D463" s="387" t="s">
        <v>251</v>
      </c>
      <c r="E463" s="388">
        <v>256000</v>
      </c>
      <c r="F463" s="388">
        <v>150000</v>
      </c>
      <c r="G463" s="388">
        <f>F463/7.5345</f>
        <v>19908.421262193908</v>
      </c>
      <c r="H463" s="388">
        <v>20000</v>
      </c>
      <c r="I463" s="388">
        <v>-15000</v>
      </c>
      <c r="J463" s="388">
        <f>SUM(H463+I463)</f>
        <v>5000</v>
      </c>
      <c r="K463" s="534">
        <f>J463*7.5345</f>
        <v>37672.5</v>
      </c>
      <c r="L463" s="384">
        <f t="shared" si="275"/>
        <v>25</v>
      </c>
    </row>
    <row r="464" spans="1:12" s="211" customFormat="1" ht="28.2" thickTop="1" x14ac:dyDescent="0.25">
      <c r="A464" s="401"/>
      <c r="B464" s="451"/>
      <c r="C464" s="40"/>
      <c r="D464" s="396" t="s">
        <v>406</v>
      </c>
      <c r="E464" s="373"/>
      <c r="F464" s="372"/>
      <c r="G464" s="372"/>
      <c r="H464" s="372"/>
      <c r="I464" s="372"/>
      <c r="J464" s="372"/>
      <c r="K464" s="529"/>
      <c r="L464" s="849">
        <f>AVERAGE(J466/H466*100)</f>
        <v>0</v>
      </c>
    </row>
    <row r="465" spans="1:12" s="116" customFormat="1" ht="13.8" x14ac:dyDescent="0.25">
      <c r="A465" s="401"/>
      <c r="B465" s="451"/>
      <c r="C465" s="40"/>
      <c r="D465" s="396" t="s">
        <v>670</v>
      </c>
      <c r="E465" s="363"/>
      <c r="F465" s="372"/>
      <c r="G465" s="372"/>
      <c r="H465" s="372"/>
      <c r="I465" s="372"/>
      <c r="J465" s="372"/>
      <c r="K465" s="529"/>
      <c r="L465" s="850"/>
    </row>
    <row r="466" spans="1:12" s="593" customFormat="1" ht="31.8" thickBot="1" x14ac:dyDescent="0.35">
      <c r="A466" s="425"/>
      <c r="B466" s="452"/>
      <c r="C466" s="97"/>
      <c r="D466" s="429" t="s">
        <v>641</v>
      </c>
      <c r="E466" s="426">
        <v>256000</v>
      </c>
      <c r="F466" s="424">
        <f t="shared" ref="F466:K468" si="276">SUM(F467)</f>
        <v>150000</v>
      </c>
      <c r="G466" s="424">
        <f t="shared" si="276"/>
        <v>19908.421262193908</v>
      </c>
      <c r="H466" s="424">
        <f t="shared" si="276"/>
        <v>30000</v>
      </c>
      <c r="I466" s="424">
        <f t="shared" si="276"/>
        <v>-30000</v>
      </c>
      <c r="J466" s="424">
        <f t="shared" si="276"/>
        <v>0</v>
      </c>
      <c r="K466" s="530">
        <f t="shared" si="276"/>
        <v>0</v>
      </c>
      <c r="L466" s="851"/>
    </row>
    <row r="467" spans="1:12" ht="14.4" thickTop="1" x14ac:dyDescent="0.25">
      <c r="A467" s="358" t="s">
        <v>572</v>
      </c>
      <c r="B467" s="447"/>
      <c r="C467" s="354">
        <v>42</v>
      </c>
      <c r="D467" s="365" t="s">
        <v>250</v>
      </c>
      <c r="E467" s="362">
        <v>256000</v>
      </c>
      <c r="F467" s="362">
        <f t="shared" si="276"/>
        <v>150000</v>
      </c>
      <c r="G467" s="362">
        <f t="shared" si="276"/>
        <v>19908.421262193908</v>
      </c>
      <c r="H467" s="362">
        <f t="shared" si="276"/>
        <v>30000</v>
      </c>
      <c r="I467" s="362">
        <f t="shared" si="276"/>
        <v>-30000</v>
      </c>
      <c r="J467" s="362">
        <f t="shared" si="276"/>
        <v>0</v>
      </c>
      <c r="K467" s="533">
        <f t="shared" si="276"/>
        <v>0</v>
      </c>
      <c r="L467" s="734">
        <f>AVERAGE(J467/H467*100)</f>
        <v>0</v>
      </c>
    </row>
    <row r="468" spans="1:12" ht="13.8" x14ac:dyDescent="0.25">
      <c r="A468" s="355" t="s">
        <v>572</v>
      </c>
      <c r="B468" s="446"/>
      <c r="C468" s="367">
        <v>421</v>
      </c>
      <c r="D468" s="368" t="s">
        <v>97</v>
      </c>
      <c r="E468" s="363">
        <v>256000</v>
      </c>
      <c r="F468" s="363">
        <f t="shared" si="276"/>
        <v>150000</v>
      </c>
      <c r="G468" s="363">
        <f t="shared" si="276"/>
        <v>19908.421262193908</v>
      </c>
      <c r="H468" s="363">
        <f t="shared" si="276"/>
        <v>30000</v>
      </c>
      <c r="I468" s="363">
        <f t="shared" si="276"/>
        <v>-30000</v>
      </c>
      <c r="J468" s="363">
        <f t="shared" si="276"/>
        <v>0</v>
      </c>
      <c r="K468" s="532">
        <f t="shared" si="276"/>
        <v>0</v>
      </c>
      <c r="L468" s="384">
        <f t="shared" ref="L468:L469" si="277">AVERAGE(J468/H468*100)</f>
        <v>0</v>
      </c>
    </row>
    <row r="469" spans="1:12" ht="14.4" thickBot="1" x14ac:dyDescent="0.3">
      <c r="A469" s="404" t="s">
        <v>572</v>
      </c>
      <c r="B469" s="448"/>
      <c r="C469" s="386">
        <v>4214</v>
      </c>
      <c r="D469" s="387" t="s">
        <v>251</v>
      </c>
      <c r="E469" s="388">
        <v>256000</v>
      </c>
      <c r="F469" s="388">
        <v>150000</v>
      </c>
      <c r="G469" s="388">
        <f>F469/7.5345</f>
        <v>19908.421262193908</v>
      </c>
      <c r="H469" s="388">
        <v>30000</v>
      </c>
      <c r="I469" s="388">
        <v>-30000</v>
      </c>
      <c r="J469" s="388">
        <f>SUM(H469+I469)</f>
        <v>0</v>
      </c>
      <c r="K469" s="534">
        <f>J469*7.5345</f>
        <v>0</v>
      </c>
      <c r="L469" s="384">
        <f t="shared" si="277"/>
        <v>0</v>
      </c>
    </row>
    <row r="470" spans="1:12" s="97" customFormat="1" ht="16.2" thickTop="1" x14ac:dyDescent="0.3">
      <c r="A470" s="401"/>
      <c r="B470" s="451"/>
      <c r="C470" s="40"/>
      <c r="D470" s="396" t="s">
        <v>407</v>
      </c>
      <c r="E470" s="373"/>
      <c r="F470" s="372"/>
      <c r="G470" s="372"/>
      <c r="H470" s="372"/>
      <c r="I470" s="372"/>
      <c r="J470" s="372"/>
      <c r="K470" s="529"/>
      <c r="L470" s="849">
        <f>AVERAGE(J472/H472*100)</f>
        <v>100</v>
      </c>
    </row>
    <row r="471" spans="1:12" s="28" customFormat="1" ht="13.8" x14ac:dyDescent="0.25">
      <c r="A471" s="401"/>
      <c r="B471" s="451"/>
      <c r="C471" s="40"/>
      <c r="D471" s="396" t="s">
        <v>658</v>
      </c>
      <c r="E471" s="363"/>
      <c r="F471" s="372"/>
      <c r="G471" s="372"/>
      <c r="H471" s="372"/>
      <c r="I471" s="372"/>
      <c r="J471" s="372"/>
      <c r="K471" s="529"/>
      <c r="L471" s="850"/>
    </row>
    <row r="472" spans="1:12" ht="15.6" x14ac:dyDescent="0.3">
      <c r="A472" s="425"/>
      <c r="B472" s="452"/>
      <c r="C472" s="97"/>
      <c r="D472" s="429" t="s">
        <v>642</v>
      </c>
      <c r="E472" s="426">
        <v>249000</v>
      </c>
      <c r="F472" s="424" t="e">
        <f t="shared" ref="F472:K473" si="278">SUM(F473)</f>
        <v>#REF!</v>
      </c>
      <c r="G472" s="424" t="e">
        <f t="shared" si="278"/>
        <v>#REF!</v>
      </c>
      <c r="H472" s="424">
        <f>SUM(H473)</f>
        <v>40000</v>
      </c>
      <c r="I472" s="424">
        <f t="shared" ref="I472:J472" si="279">SUM(I473)</f>
        <v>0</v>
      </c>
      <c r="J472" s="424">
        <f t="shared" si="279"/>
        <v>40000</v>
      </c>
      <c r="K472" s="530" t="e">
        <f t="shared" si="278"/>
        <v>#REF!</v>
      </c>
      <c r="L472" s="851"/>
    </row>
    <row r="473" spans="1:12" ht="13.8" x14ac:dyDescent="0.25">
      <c r="A473" s="358" t="s">
        <v>573</v>
      </c>
      <c r="B473" s="447"/>
      <c r="C473" s="354">
        <v>42</v>
      </c>
      <c r="D473" s="365" t="s">
        <v>250</v>
      </c>
      <c r="E473" s="362">
        <v>249000</v>
      </c>
      <c r="F473" s="362" t="e">
        <f t="shared" si="278"/>
        <v>#REF!</v>
      </c>
      <c r="G473" s="362" t="e">
        <f t="shared" si="278"/>
        <v>#REF!</v>
      </c>
      <c r="H473" s="362">
        <f t="shared" si="278"/>
        <v>40000</v>
      </c>
      <c r="I473" s="362">
        <f t="shared" si="278"/>
        <v>0</v>
      </c>
      <c r="J473" s="362">
        <f t="shared" si="278"/>
        <v>40000</v>
      </c>
      <c r="K473" s="533" t="e">
        <f t="shared" si="278"/>
        <v>#REF!</v>
      </c>
      <c r="L473" s="734">
        <f>AVERAGE(J473/H473*100)</f>
        <v>100</v>
      </c>
    </row>
    <row r="474" spans="1:12" ht="13.8" x14ac:dyDescent="0.25">
      <c r="A474" s="355" t="s">
        <v>573</v>
      </c>
      <c r="B474" s="446"/>
      <c r="C474" s="367">
        <v>421</v>
      </c>
      <c r="D474" s="368" t="s">
        <v>97</v>
      </c>
      <c r="E474" s="363">
        <v>249000</v>
      </c>
      <c r="F474" s="363" t="e">
        <f>SUM(F475+#REF!+F476)</f>
        <v>#REF!</v>
      </c>
      <c r="G474" s="363" t="e">
        <f>SUM(G475+#REF!+G476)</f>
        <v>#REF!</v>
      </c>
      <c r="H474" s="363">
        <f>SUM(H475+H476)</f>
        <v>40000</v>
      </c>
      <c r="I474" s="363">
        <f t="shared" ref="I474:J474" si="280">SUM(I475+I476)</f>
        <v>0</v>
      </c>
      <c r="J474" s="363">
        <f t="shared" si="280"/>
        <v>40000</v>
      </c>
      <c r="K474" s="532" t="e">
        <f>SUM(K475+#REF!+K476)</f>
        <v>#REF!</v>
      </c>
      <c r="L474" s="384">
        <f t="shared" ref="L474:L476" si="281">AVERAGE(J474/H474*100)</f>
        <v>100</v>
      </c>
    </row>
    <row r="475" spans="1:12" s="211" customFormat="1" ht="13.8" x14ac:dyDescent="0.25">
      <c r="A475" s="366" t="s">
        <v>573</v>
      </c>
      <c r="B475" s="446"/>
      <c r="C475" s="367">
        <v>4214</v>
      </c>
      <c r="D475" s="368" t="s">
        <v>251</v>
      </c>
      <c r="E475" s="363">
        <v>249000</v>
      </c>
      <c r="F475" s="363">
        <v>50000</v>
      </c>
      <c r="G475" s="363">
        <f>F475/7.5345</f>
        <v>6636.1404207313026</v>
      </c>
      <c r="H475" s="363">
        <v>25000</v>
      </c>
      <c r="I475" s="363">
        <v>0</v>
      </c>
      <c r="J475" s="363">
        <f>SUM(H475+I475)</f>
        <v>25000</v>
      </c>
      <c r="K475" s="532">
        <f>J475*7.5345</f>
        <v>188362.5</v>
      </c>
      <c r="L475" s="380">
        <f t="shared" si="281"/>
        <v>100</v>
      </c>
    </row>
    <row r="476" spans="1:12" s="116" customFormat="1" ht="14.4" thickBot="1" x14ac:dyDescent="0.3">
      <c r="A476" s="603" t="s">
        <v>464</v>
      </c>
      <c r="B476" s="448"/>
      <c r="C476" s="386">
        <v>4214</v>
      </c>
      <c r="D476" s="387" t="s">
        <v>251</v>
      </c>
      <c r="E476" s="388">
        <v>249000</v>
      </c>
      <c r="F476" s="388">
        <v>0</v>
      </c>
      <c r="G476" s="388">
        <v>0</v>
      </c>
      <c r="H476" s="388">
        <v>15000</v>
      </c>
      <c r="I476" s="388">
        <v>0</v>
      </c>
      <c r="J476" s="388">
        <f>SUM(H476+I476)</f>
        <v>15000</v>
      </c>
      <c r="K476" s="532">
        <v>0</v>
      </c>
      <c r="L476" s="380">
        <f t="shared" si="281"/>
        <v>100</v>
      </c>
    </row>
    <row r="477" spans="1:12" s="593" customFormat="1" ht="28.8" thickTop="1" thickBot="1" x14ac:dyDescent="0.3">
      <c r="A477" s="401"/>
      <c r="B477" s="451"/>
      <c r="C477" s="40"/>
      <c r="D477" s="396" t="s">
        <v>406</v>
      </c>
      <c r="E477" s="373"/>
      <c r="F477" s="372"/>
      <c r="G477" s="372"/>
      <c r="H477" s="372"/>
      <c r="I477" s="372"/>
      <c r="J477" s="372"/>
      <c r="K477" s="529"/>
      <c r="L477" s="849">
        <f>AVERAGE(J479/H479*100)</f>
        <v>143.01075268817206</v>
      </c>
    </row>
    <row r="478" spans="1:12" ht="14.4" thickTop="1" x14ac:dyDescent="0.25">
      <c r="A478" s="401"/>
      <c r="B478" s="451"/>
      <c r="C478" s="40"/>
      <c r="D478" s="396" t="s">
        <v>658</v>
      </c>
      <c r="E478" s="363"/>
      <c r="F478" s="372"/>
      <c r="G478" s="372"/>
      <c r="H478" s="372"/>
      <c r="I478" s="372"/>
      <c r="J478" s="372"/>
      <c r="K478" s="529"/>
      <c r="L478" s="850"/>
    </row>
    <row r="479" spans="1:12" ht="31.2" x14ac:dyDescent="0.3">
      <c r="A479" s="425"/>
      <c r="B479" s="452"/>
      <c r="C479" s="97"/>
      <c r="D479" s="429" t="s">
        <v>643</v>
      </c>
      <c r="E479" s="426">
        <v>160000</v>
      </c>
      <c r="F479" s="424" t="e">
        <f>SUM(F480+#REF!)</f>
        <v>#REF!</v>
      </c>
      <c r="G479" s="424" t="e">
        <f>SUM(G480+#REF!)</f>
        <v>#REF!</v>
      </c>
      <c r="H479" s="424">
        <f>SUM(H480)</f>
        <v>46500</v>
      </c>
      <c r="I479" s="424">
        <f t="shared" ref="I479:J479" si="282">SUM(I480)</f>
        <v>20000</v>
      </c>
      <c r="J479" s="424">
        <f t="shared" si="282"/>
        <v>66500</v>
      </c>
      <c r="K479" s="530" t="e">
        <f>SUM(K480+#REF!)</f>
        <v>#REF!</v>
      </c>
      <c r="L479" s="851"/>
    </row>
    <row r="480" spans="1:12" ht="13.8" x14ac:dyDescent="0.25">
      <c r="A480" s="358" t="s">
        <v>574</v>
      </c>
      <c r="B480" s="447"/>
      <c r="C480" s="354">
        <v>45</v>
      </c>
      <c r="D480" s="365" t="s">
        <v>482</v>
      </c>
      <c r="E480" s="362">
        <v>247000</v>
      </c>
      <c r="F480" s="362">
        <f t="shared" ref="F480:K480" si="283">SUM(F481)</f>
        <v>30000</v>
      </c>
      <c r="G480" s="362">
        <f t="shared" si="283"/>
        <v>3981.6842524387812</v>
      </c>
      <c r="H480" s="362">
        <f t="shared" si="283"/>
        <v>46500</v>
      </c>
      <c r="I480" s="362">
        <f t="shared" si="283"/>
        <v>20000</v>
      </c>
      <c r="J480" s="362">
        <f t="shared" si="283"/>
        <v>66500</v>
      </c>
      <c r="K480" s="533">
        <f t="shared" si="283"/>
        <v>241104</v>
      </c>
      <c r="L480" s="734">
        <f>AVERAGE(J480/H480*100)</f>
        <v>143.01075268817206</v>
      </c>
    </row>
    <row r="481" spans="1:12" s="390" customFormat="1" ht="14.4" thickBot="1" x14ac:dyDescent="0.3">
      <c r="A481" s="355" t="s">
        <v>574</v>
      </c>
      <c r="B481" s="446"/>
      <c r="C481" s="367">
        <v>454</v>
      </c>
      <c r="D481" s="368" t="s">
        <v>589</v>
      </c>
      <c r="E481" s="363">
        <v>30000</v>
      </c>
      <c r="F481" s="363">
        <f t="shared" ref="F481:K481" si="284">SUM(F482)</f>
        <v>30000</v>
      </c>
      <c r="G481" s="363">
        <f t="shared" si="284"/>
        <v>3981.6842524387812</v>
      </c>
      <c r="H481" s="363">
        <f>SUM(H482+H483)</f>
        <v>46500</v>
      </c>
      <c r="I481" s="363">
        <f t="shared" ref="I481:J481" si="285">SUM(I482+I483)</f>
        <v>20000</v>
      </c>
      <c r="J481" s="363">
        <f t="shared" si="285"/>
        <v>66500</v>
      </c>
      <c r="K481" s="532">
        <f t="shared" si="284"/>
        <v>241104</v>
      </c>
      <c r="L481" s="384">
        <f t="shared" ref="L481:L483" si="286">AVERAGE(J481/H481*100)</f>
        <v>143.01075268817206</v>
      </c>
    </row>
    <row r="482" spans="1:12" s="28" customFormat="1" ht="14.4" thickTop="1" x14ac:dyDescent="0.25">
      <c r="A482" s="355" t="s">
        <v>574</v>
      </c>
      <c r="B482" s="446"/>
      <c r="C482" s="367">
        <v>4541</v>
      </c>
      <c r="D482" s="368" t="s">
        <v>589</v>
      </c>
      <c r="E482" s="363">
        <v>30000</v>
      </c>
      <c r="F482" s="363">
        <v>30000</v>
      </c>
      <c r="G482" s="363">
        <f>F482/7.5345</f>
        <v>3981.6842524387812</v>
      </c>
      <c r="H482" s="363">
        <v>32000</v>
      </c>
      <c r="I482" s="363">
        <v>0</v>
      </c>
      <c r="J482" s="363">
        <f>SUM(H482+I482)</f>
        <v>32000</v>
      </c>
      <c r="K482" s="532">
        <f>J482*7.5345</f>
        <v>241104</v>
      </c>
      <c r="L482" s="384">
        <f t="shared" si="286"/>
        <v>100</v>
      </c>
    </row>
    <row r="483" spans="1:12" ht="13.8" x14ac:dyDescent="0.25">
      <c r="A483" s="355" t="s">
        <v>574</v>
      </c>
      <c r="B483" s="446"/>
      <c r="C483" s="367">
        <v>4541</v>
      </c>
      <c r="D483" s="368" t="s">
        <v>589</v>
      </c>
      <c r="E483" s="363">
        <v>30000</v>
      </c>
      <c r="F483" s="363">
        <v>30000</v>
      </c>
      <c r="G483" s="363">
        <f>F483/7.5345</f>
        <v>3981.6842524387812</v>
      </c>
      <c r="H483" s="363">
        <v>14500</v>
      </c>
      <c r="I483" s="363">
        <v>20000</v>
      </c>
      <c r="J483" s="363">
        <f>SUM(H483+I483)</f>
        <v>34500</v>
      </c>
      <c r="K483" s="532">
        <f>J483*7.5345</f>
        <v>259940.25</v>
      </c>
      <c r="L483" s="384">
        <f t="shared" si="286"/>
        <v>237.93103448275863</v>
      </c>
    </row>
    <row r="484" spans="1:12" s="390" customFormat="1" ht="14.4" thickBot="1" x14ac:dyDescent="0.3">
      <c r="A484" s="401"/>
      <c r="B484" s="451"/>
      <c r="C484" s="40"/>
      <c r="D484" s="396" t="s">
        <v>407</v>
      </c>
      <c r="E484" s="373"/>
      <c r="F484" s="372"/>
      <c r="G484" s="372"/>
      <c r="H484" s="372"/>
      <c r="I484" s="372"/>
      <c r="J484" s="372"/>
      <c r="K484" s="529"/>
      <c r="L484" s="872">
        <f>AVERAGE(J486/H486*100)</f>
        <v>100</v>
      </c>
    </row>
    <row r="485" spans="1:12" ht="14.4" thickTop="1" x14ac:dyDescent="0.25">
      <c r="A485" s="401"/>
      <c r="B485" s="451"/>
      <c r="C485" s="40"/>
      <c r="D485" s="396" t="s">
        <v>651</v>
      </c>
      <c r="E485" s="363"/>
      <c r="F485" s="372"/>
      <c r="G485" s="372"/>
      <c r="H485" s="372"/>
      <c r="I485" s="372"/>
      <c r="J485" s="372"/>
      <c r="K485" s="529"/>
      <c r="L485" s="850"/>
    </row>
    <row r="486" spans="1:12" ht="31.2" x14ac:dyDescent="0.3">
      <c r="A486" s="425"/>
      <c r="B486" s="452"/>
      <c r="C486" s="97"/>
      <c r="D486" s="588" t="s">
        <v>644</v>
      </c>
      <c r="E486" s="426">
        <v>0</v>
      </c>
      <c r="F486" s="424" t="e">
        <f t="shared" ref="F486:K488" si="287">SUM(F487)</f>
        <v>#REF!</v>
      </c>
      <c r="G486" s="424" t="e">
        <f t="shared" si="287"/>
        <v>#REF!</v>
      </c>
      <c r="H486" s="424">
        <f t="shared" si="287"/>
        <v>124000</v>
      </c>
      <c r="I486" s="424">
        <f t="shared" si="287"/>
        <v>0</v>
      </c>
      <c r="J486" s="424">
        <f t="shared" si="287"/>
        <v>124000</v>
      </c>
      <c r="K486" s="530" t="e">
        <f t="shared" si="287"/>
        <v>#REF!</v>
      </c>
      <c r="L486" s="851"/>
    </row>
    <row r="487" spans="1:12" s="28" customFormat="1" ht="13.8" x14ac:dyDescent="0.25">
      <c r="A487" s="358" t="s">
        <v>575</v>
      </c>
      <c r="B487" s="447"/>
      <c r="C487" s="354">
        <v>42</v>
      </c>
      <c r="D487" s="365" t="s">
        <v>250</v>
      </c>
      <c r="E487" s="362">
        <v>0</v>
      </c>
      <c r="F487" s="362" t="e">
        <f t="shared" si="287"/>
        <v>#REF!</v>
      </c>
      <c r="G487" s="362" t="e">
        <f t="shared" si="287"/>
        <v>#REF!</v>
      </c>
      <c r="H487" s="362">
        <f t="shared" si="287"/>
        <v>124000</v>
      </c>
      <c r="I487" s="362">
        <f t="shared" si="287"/>
        <v>0</v>
      </c>
      <c r="J487" s="362">
        <f t="shared" si="287"/>
        <v>124000</v>
      </c>
      <c r="K487" s="533" t="e">
        <f t="shared" si="287"/>
        <v>#REF!</v>
      </c>
      <c r="L487" s="734">
        <f>AVERAGE(J487/H487*100)</f>
        <v>100</v>
      </c>
    </row>
    <row r="488" spans="1:12" ht="13.8" x14ac:dyDescent="0.25">
      <c r="A488" s="355" t="s">
        <v>575</v>
      </c>
      <c r="B488" s="446"/>
      <c r="C488" s="367">
        <v>421</v>
      </c>
      <c r="D488" s="368" t="s">
        <v>97</v>
      </c>
      <c r="E488" s="363">
        <v>0</v>
      </c>
      <c r="F488" s="363" t="e">
        <f>SUM(F489+#REF!)</f>
        <v>#REF!</v>
      </c>
      <c r="G488" s="363" t="e">
        <f>SUM(G489+#REF!)</f>
        <v>#REF!</v>
      </c>
      <c r="H488" s="363">
        <f>SUM(H489)</f>
        <v>124000</v>
      </c>
      <c r="I488" s="363">
        <f t="shared" si="287"/>
        <v>0</v>
      </c>
      <c r="J488" s="363">
        <f t="shared" si="287"/>
        <v>124000</v>
      </c>
      <c r="K488" s="532" t="e">
        <f>SUM(K489+#REF!)</f>
        <v>#REF!</v>
      </c>
      <c r="L488" s="384">
        <f t="shared" ref="L488:L495" si="288">AVERAGE(J488/H488*100)</f>
        <v>100</v>
      </c>
    </row>
    <row r="489" spans="1:12" ht="14.4" thickBot="1" x14ac:dyDescent="0.3">
      <c r="A489" s="355" t="s">
        <v>575</v>
      </c>
      <c r="B489" s="448"/>
      <c r="C489" s="386">
        <v>4214</v>
      </c>
      <c r="D489" s="387" t="s">
        <v>251</v>
      </c>
      <c r="E489" s="388">
        <v>0</v>
      </c>
      <c r="F489" s="388">
        <v>300000</v>
      </c>
      <c r="G489" s="388">
        <f>F489/7.5345</f>
        <v>39816.842524387816</v>
      </c>
      <c r="H489" s="388">
        <v>124000</v>
      </c>
      <c r="I489" s="388">
        <v>0</v>
      </c>
      <c r="J489" s="388">
        <f>SUM(H489+I489)</f>
        <v>124000</v>
      </c>
      <c r="K489" s="534">
        <f>J489*7.5345</f>
        <v>934278</v>
      </c>
      <c r="L489" s="388">
        <f t="shared" si="288"/>
        <v>100</v>
      </c>
    </row>
    <row r="490" spans="1:12" ht="14.4" hidden="1" thickTop="1" x14ac:dyDescent="0.25">
      <c r="A490" s="852"/>
      <c r="B490" s="853"/>
      <c r="C490" s="854"/>
      <c r="D490" s="396" t="s">
        <v>407</v>
      </c>
      <c r="E490" s="373"/>
      <c r="F490" s="372"/>
      <c r="G490" s="372"/>
      <c r="H490" s="372"/>
      <c r="I490" s="372"/>
      <c r="J490" s="372"/>
      <c r="K490" s="529"/>
      <c r="L490" s="372"/>
    </row>
    <row r="491" spans="1:12" ht="14.4" thickTop="1" x14ac:dyDescent="0.25">
      <c r="A491" s="852"/>
      <c r="B491" s="853"/>
      <c r="C491" s="854"/>
      <c r="D491" s="396" t="s">
        <v>195</v>
      </c>
      <c r="E491" s="363"/>
      <c r="F491" s="372"/>
      <c r="G491" s="372"/>
      <c r="H491" s="372"/>
      <c r="I491" s="372"/>
      <c r="J491" s="372"/>
      <c r="K491" s="529"/>
      <c r="L491" s="372"/>
    </row>
    <row r="492" spans="1:12" ht="31.2" x14ac:dyDescent="0.3">
      <c r="A492" s="855"/>
      <c r="B492" s="856"/>
      <c r="C492" s="857"/>
      <c r="D492" s="429" t="s">
        <v>645</v>
      </c>
      <c r="E492" s="426">
        <v>100000</v>
      </c>
      <c r="F492" s="424">
        <f t="shared" ref="F492:K493" si="289">SUM(F493)</f>
        <v>0</v>
      </c>
      <c r="G492" s="424">
        <f t="shared" si="289"/>
        <v>0</v>
      </c>
      <c r="H492" s="424">
        <f t="shared" si="289"/>
        <v>0</v>
      </c>
      <c r="I492" s="424">
        <f t="shared" si="289"/>
        <v>0</v>
      </c>
      <c r="J492" s="424">
        <f t="shared" si="289"/>
        <v>0</v>
      </c>
      <c r="K492" s="530">
        <f t="shared" si="289"/>
        <v>0</v>
      </c>
      <c r="L492" s="734" t="e">
        <f t="shared" si="288"/>
        <v>#DIV/0!</v>
      </c>
    </row>
    <row r="493" spans="1:12" ht="13.8" x14ac:dyDescent="0.25">
      <c r="A493" s="358" t="s">
        <v>576</v>
      </c>
      <c r="B493" s="447"/>
      <c r="C493" s="354">
        <v>42</v>
      </c>
      <c r="D493" s="365" t="s">
        <v>250</v>
      </c>
      <c r="E493" s="362">
        <v>100000</v>
      </c>
      <c r="F493" s="362">
        <f t="shared" si="289"/>
        <v>0</v>
      </c>
      <c r="G493" s="362">
        <f t="shared" si="289"/>
        <v>0</v>
      </c>
      <c r="H493" s="362">
        <f t="shared" si="289"/>
        <v>0</v>
      </c>
      <c r="I493" s="362">
        <f t="shared" si="289"/>
        <v>0</v>
      </c>
      <c r="J493" s="362">
        <f t="shared" si="289"/>
        <v>0</v>
      </c>
      <c r="K493" s="533">
        <f t="shared" si="289"/>
        <v>0</v>
      </c>
      <c r="L493" s="734" t="e">
        <f t="shared" si="288"/>
        <v>#DIV/0!</v>
      </c>
    </row>
    <row r="494" spans="1:12" s="211" customFormat="1" ht="13.8" x14ac:dyDescent="0.25">
      <c r="A494" s="358" t="s">
        <v>576</v>
      </c>
      <c r="B494" s="446"/>
      <c r="C494" s="367">
        <v>421</v>
      </c>
      <c r="D494" s="368" t="s">
        <v>97</v>
      </c>
      <c r="E494" s="363">
        <v>100000</v>
      </c>
      <c r="F494" s="363">
        <f t="shared" ref="F494:K494" si="290">SUM(F495:F495)</f>
        <v>0</v>
      </c>
      <c r="G494" s="363">
        <f t="shared" si="290"/>
        <v>0</v>
      </c>
      <c r="H494" s="363">
        <f t="shared" si="290"/>
        <v>0</v>
      </c>
      <c r="I494" s="363">
        <f t="shared" si="290"/>
        <v>0</v>
      </c>
      <c r="J494" s="363">
        <f t="shared" si="290"/>
        <v>0</v>
      </c>
      <c r="K494" s="532">
        <f t="shared" si="290"/>
        <v>0</v>
      </c>
      <c r="L494" s="384" t="e">
        <f t="shared" si="288"/>
        <v>#DIV/0!</v>
      </c>
    </row>
    <row r="495" spans="1:12" ht="14.4" thickBot="1" x14ac:dyDescent="0.3">
      <c r="A495" s="358" t="s">
        <v>576</v>
      </c>
      <c r="B495" s="454"/>
      <c r="C495" s="386">
        <v>4214</v>
      </c>
      <c r="D495" s="387" t="s">
        <v>251</v>
      </c>
      <c r="E495" s="430">
        <v>100000</v>
      </c>
      <c r="F495" s="430">
        <v>0</v>
      </c>
      <c r="G495" s="388">
        <f t="shared" ref="G495:H495" si="291">F495/7.5345</f>
        <v>0</v>
      </c>
      <c r="H495" s="388">
        <f t="shared" si="291"/>
        <v>0</v>
      </c>
      <c r="I495" s="388">
        <v>0</v>
      </c>
      <c r="J495" s="388">
        <f>SUM(H495+I495)</f>
        <v>0</v>
      </c>
      <c r="K495" s="534">
        <f>J495*7.5345</f>
        <v>0</v>
      </c>
      <c r="L495" s="384" t="e">
        <f t="shared" si="288"/>
        <v>#DIV/0!</v>
      </c>
    </row>
    <row r="496" spans="1:12" ht="28.2" hidden="1" thickTop="1" x14ac:dyDescent="0.25">
      <c r="A496" s="401"/>
      <c r="B496" s="451"/>
      <c r="C496" s="40"/>
      <c r="D496" s="396" t="s">
        <v>406</v>
      </c>
      <c r="E496" s="373"/>
      <c r="F496" s="372"/>
      <c r="G496" s="372"/>
      <c r="H496" s="372"/>
      <c r="I496" s="372"/>
      <c r="J496" s="372"/>
      <c r="K496" s="529"/>
      <c r="L496" s="723" t="e">
        <f>AVERAGE(#REF!/#REF!*100)</f>
        <v>#REF!</v>
      </c>
    </row>
    <row r="497" spans="1:12" s="540" customFormat="1" ht="14.4" thickTop="1" x14ac:dyDescent="0.25">
      <c r="A497" s="652"/>
      <c r="B497" s="672"/>
      <c r="C497" s="654"/>
      <c r="D497" s="644" t="s">
        <v>407</v>
      </c>
      <c r="E497" s="655"/>
      <c r="F497" s="617"/>
      <c r="G497" s="617"/>
      <c r="H497" s="617"/>
      <c r="I497" s="617"/>
      <c r="J497" s="617"/>
      <c r="K497" s="645"/>
      <c r="L497" s="847">
        <f>AVERAGE(J499/H499*100)</f>
        <v>111.80618034261794</v>
      </c>
    </row>
    <row r="498" spans="1:12" s="540" customFormat="1" ht="13.8" hidden="1" x14ac:dyDescent="0.25">
      <c r="A498" s="652"/>
      <c r="B498" s="672"/>
      <c r="C498" s="654"/>
      <c r="D498" s="644" t="s">
        <v>658</v>
      </c>
      <c r="E498" s="615"/>
      <c r="F498" s="617"/>
      <c r="G498" s="617"/>
      <c r="H498" s="617"/>
      <c r="I498" s="617"/>
      <c r="J498" s="617"/>
      <c r="K498" s="645"/>
      <c r="L498" s="847"/>
    </row>
    <row r="499" spans="1:12" s="540" customFormat="1" ht="31.2" x14ac:dyDescent="0.3">
      <c r="A499" s="656"/>
      <c r="B499" s="668"/>
      <c r="C499" s="658"/>
      <c r="D499" s="616" t="s">
        <v>646</v>
      </c>
      <c r="E499" s="624">
        <v>100000</v>
      </c>
      <c r="F499" s="602">
        <f t="shared" ref="F499:K500" si="292">SUM(F500)</f>
        <v>200000</v>
      </c>
      <c r="G499" s="602">
        <f t="shared" si="292"/>
        <v>26544.56168292521</v>
      </c>
      <c r="H499" s="602">
        <f>SUM(H500+H506+H512+H516)</f>
        <v>1089260</v>
      </c>
      <c r="I499" s="602">
        <f t="shared" ref="I499:J499" si="293">SUM(I500+I506+I512+I516)</f>
        <v>128600</v>
      </c>
      <c r="J499" s="602">
        <f t="shared" si="293"/>
        <v>1217860</v>
      </c>
      <c r="K499" s="660">
        <f t="shared" si="292"/>
        <v>5839237.5</v>
      </c>
      <c r="L499" s="848"/>
    </row>
    <row r="500" spans="1:12" s="540" customFormat="1" ht="13.8" x14ac:dyDescent="0.25">
      <c r="A500" s="673" t="s">
        <v>577</v>
      </c>
      <c r="B500" s="626"/>
      <c r="C500" s="627">
        <v>42</v>
      </c>
      <c r="D500" s="628" t="s">
        <v>250</v>
      </c>
      <c r="E500" s="629">
        <v>100000</v>
      </c>
      <c r="F500" s="629">
        <f t="shared" si="292"/>
        <v>200000</v>
      </c>
      <c r="G500" s="629">
        <f t="shared" si="292"/>
        <v>26544.56168292521</v>
      </c>
      <c r="H500" s="629">
        <f>SUM(H501+H504)</f>
        <v>1035760</v>
      </c>
      <c r="I500" s="629">
        <f t="shared" ref="I500:J500" si="294">SUM(I501+I504)</f>
        <v>128600</v>
      </c>
      <c r="J500" s="629">
        <f t="shared" si="294"/>
        <v>1164360</v>
      </c>
      <c r="K500" s="630">
        <f t="shared" si="292"/>
        <v>5839237.5</v>
      </c>
      <c r="L500" s="735">
        <f>AVERAGE(J500/H500*100)</f>
        <v>112.41600370742258</v>
      </c>
    </row>
    <row r="501" spans="1:12" s="540" customFormat="1" ht="13.8" x14ac:dyDescent="0.25">
      <c r="A501" s="674" t="s">
        <v>577</v>
      </c>
      <c r="B501" s="631"/>
      <c r="C501" s="632">
        <v>421</v>
      </c>
      <c r="D501" s="621" t="s">
        <v>97</v>
      </c>
      <c r="E501" s="615">
        <v>100000</v>
      </c>
      <c r="F501" s="615">
        <f>SUM(F502:F503)</f>
        <v>200000</v>
      </c>
      <c r="G501" s="615">
        <f>SUM(G502:G503)</f>
        <v>26544.56168292521</v>
      </c>
      <c r="H501" s="615">
        <f>SUM(H503)</f>
        <v>775000</v>
      </c>
      <c r="I501" s="615">
        <f t="shared" ref="I501:J501" si="295">SUM(I503)</f>
        <v>0</v>
      </c>
      <c r="J501" s="615">
        <f t="shared" si="295"/>
        <v>775000</v>
      </c>
      <c r="K501" s="622">
        <f>SUM(K502:K503)</f>
        <v>5839237.5</v>
      </c>
      <c r="L501" s="650">
        <f t="shared" ref="L501:L519" si="296">AVERAGE(J501/H501*100)</f>
        <v>100</v>
      </c>
    </row>
    <row r="502" spans="1:12" s="540" customFormat="1" ht="13.8" x14ac:dyDescent="0.25">
      <c r="A502" s="674" t="s">
        <v>465</v>
      </c>
      <c r="B502" s="631"/>
      <c r="C502" s="632">
        <v>4214</v>
      </c>
      <c r="D502" s="621" t="s">
        <v>251</v>
      </c>
      <c r="E502" s="615">
        <v>100000</v>
      </c>
      <c r="F502" s="615">
        <v>0</v>
      </c>
      <c r="G502" s="615">
        <v>0</v>
      </c>
      <c r="H502" s="615">
        <v>0</v>
      </c>
      <c r="I502" s="615">
        <v>0</v>
      </c>
      <c r="J502" s="615">
        <f>SUM(H502+I502)</f>
        <v>0</v>
      </c>
      <c r="K502" s="622">
        <v>0</v>
      </c>
      <c r="L502" s="650" t="e">
        <f t="shared" si="296"/>
        <v>#DIV/0!</v>
      </c>
    </row>
    <row r="503" spans="1:12" s="540" customFormat="1" ht="13.8" x14ac:dyDescent="0.25">
      <c r="A503" s="716" t="s">
        <v>577</v>
      </c>
      <c r="B503" s="634"/>
      <c r="C503" s="635">
        <v>4214</v>
      </c>
      <c r="D503" s="636" t="s">
        <v>251</v>
      </c>
      <c r="E503" s="637">
        <v>100000</v>
      </c>
      <c r="F503" s="637">
        <v>200000</v>
      </c>
      <c r="G503" s="637">
        <f>F503/7.5345</f>
        <v>26544.56168292521</v>
      </c>
      <c r="H503" s="637">
        <v>775000</v>
      </c>
      <c r="I503" s="637">
        <v>0</v>
      </c>
      <c r="J503" s="615">
        <f>SUM(H503+I503)</f>
        <v>775000</v>
      </c>
      <c r="K503" s="622">
        <f>J503*7.5345</f>
        <v>5839237.5</v>
      </c>
      <c r="L503" s="650">
        <f t="shared" si="296"/>
        <v>100</v>
      </c>
    </row>
    <row r="504" spans="1:12" s="540" customFormat="1" ht="13.8" x14ac:dyDescent="0.25">
      <c r="A504" s="623" t="s">
        <v>577</v>
      </c>
      <c r="B504" s="631"/>
      <c r="C504" s="632">
        <v>421</v>
      </c>
      <c r="D504" s="621" t="s">
        <v>97</v>
      </c>
      <c r="E504" s="615"/>
      <c r="F504" s="615"/>
      <c r="G504" s="615"/>
      <c r="H504" s="615">
        <f>SUM(H505)</f>
        <v>260760</v>
      </c>
      <c r="I504" s="615">
        <f>SUM(I505)</f>
        <v>128600</v>
      </c>
      <c r="J504" s="615">
        <f>SUM(J505)</f>
        <v>389360</v>
      </c>
      <c r="K504" s="622"/>
      <c r="L504" s="650">
        <f t="shared" si="296"/>
        <v>149.3173799662525</v>
      </c>
    </row>
    <row r="505" spans="1:12" s="540" customFormat="1" ht="13.8" x14ac:dyDescent="0.25">
      <c r="A505" s="633" t="s">
        <v>577</v>
      </c>
      <c r="B505" s="634"/>
      <c r="C505" s="635">
        <v>4214</v>
      </c>
      <c r="D505" s="636" t="s">
        <v>251</v>
      </c>
      <c r="E505" s="637"/>
      <c r="F505" s="637"/>
      <c r="G505" s="637"/>
      <c r="H505" s="637">
        <v>260760</v>
      </c>
      <c r="I505" s="637">
        <v>128600</v>
      </c>
      <c r="J505" s="637">
        <f>SUM(H505+I505)</f>
        <v>389360</v>
      </c>
      <c r="K505" s="638"/>
      <c r="L505" s="740">
        <f t="shared" si="296"/>
        <v>149.3173799662525</v>
      </c>
    </row>
    <row r="506" spans="1:12" s="540" customFormat="1" ht="13.8" x14ac:dyDescent="0.25">
      <c r="A506" s="623" t="s">
        <v>577</v>
      </c>
      <c r="B506" s="631"/>
      <c r="C506" s="627">
        <v>32</v>
      </c>
      <c r="D506" s="628" t="s">
        <v>47</v>
      </c>
      <c r="E506" s="629"/>
      <c r="F506" s="629"/>
      <c r="G506" s="629"/>
      <c r="H506" s="629">
        <f>H507</f>
        <v>32500</v>
      </c>
      <c r="I506" s="629">
        <f t="shared" ref="I506:J506" si="297">I507</f>
        <v>0</v>
      </c>
      <c r="J506" s="629">
        <f t="shared" si="297"/>
        <v>32500</v>
      </c>
      <c r="K506" s="629">
        <f t="shared" ref="K506:L506" si="298">SUM(K507:K508)</f>
        <v>0</v>
      </c>
      <c r="L506" s="629">
        <f t="shared" si="298"/>
        <v>200</v>
      </c>
    </row>
    <row r="507" spans="1:12" s="540" customFormat="1" ht="13.8" x14ac:dyDescent="0.25">
      <c r="A507" s="623" t="s">
        <v>577</v>
      </c>
      <c r="B507" s="631"/>
      <c r="C507" s="632">
        <v>323</v>
      </c>
      <c r="D507" s="621" t="s">
        <v>56</v>
      </c>
      <c r="E507" s="615"/>
      <c r="F507" s="615"/>
      <c r="G507" s="615"/>
      <c r="H507" s="629">
        <f>SUM(H508:H511)</f>
        <v>32500</v>
      </c>
      <c r="I507" s="629">
        <f t="shared" ref="I507:J507" si="299">SUM(I508:I511)</f>
        <v>0</v>
      </c>
      <c r="J507" s="629">
        <f t="shared" si="299"/>
        <v>32500</v>
      </c>
      <c r="K507" s="630"/>
      <c r="L507" s="742">
        <f t="shared" si="296"/>
        <v>100</v>
      </c>
    </row>
    <row r="508" spans="1:12" s="540" customFormat="1" ht="13.8" x14ac:dyDescent="0.25">
      <c r="A508" s="633" t="s">
        <v>577</v>
      </c>
      <c r="B508" s="634"/>
      <c r="C508" s="635">
        <v>3237</v>
      </c>
      <c r="D508" s="636" t="s">
        <v>679</v>
      </c>
      <c r="E508" s="637"/>
      <c r="F508" s="637"/>
      <c r="G508" s="637"/>
      <c r="H508" s="637">
        <v>27625</v>
      </c>
      <c r="I508" s="637">
        <v>0</v>
      </c>
      <c r="J508" s="637">
        <f t="shared" ref="J508:J519" si="300">SUM(H508+I508)</f>
        <v>27625</v>
      </c>
      <c r="K508" s="638"/>
      <c r="L508" s="740">
        <f t="shared" si="296"/>
        <v>100</v>
      </c>
    </row>
    <row r="509" spans="1:12" s="540" customFormat="1" ht="13.8" x14ac:dyDescent="0.25">
      <c r="A509" s="623" t="s">
        <v>577</v>
      </c>
      <c r="B509" s="631"/>
      <c r="C509" s="632">
        <v>32</v>
      </c>
      <c r="D509" s="621" t="s">
        <v>62</v>
      </c>
      <c r="E509" s="615"/>
      <c r="F509" s="615"/>
      <c r="G509" s="615"/>
      <c r="H509" s="615">
        <v>0</v>
      </c>
      <c r="I509" s="615">
        <v>0</v>
      </c>
      <c r="J509" s="637">
        <f t="shared" si="300"/>
        <v>0</v>
      </c>
      <c r="K509" s="622"/>
      <c r="L509" s="740" t="e">
        <f t="shared" si="296"/>
        <v>#DIV/0!</v>
      </c>
    </row>
    <row r="510" spans="1:12" s="540" customFormat="1" ht="13.8" x14ac:dyDescent="0.25">
      <c r="A510" s="623" t="s">
        <v>577</v>
      </c>
      <c r="B510" s="631"/>
      <c r="C510" s="632">
        <v>323</v>
      </c>
      <c r="D510" s="621" t="s">
        <v>62</v>
      </c>
      <c r="E510" s="615"/>
      <c r="F510" s="615"/>
      <c r="G510" s="615"/>
      <c r="H510" s="615">
        <v>0</v>
      </c>
      <c r="I510" s="615">
        <v>0</v>
      </c>
      <c r="J510" s="637">
        <f t="shared" si="300"/>
        <v>0</v>
      </c>
      <c r="K510" s="622"/>
      <c r="L510" s="740" t="e">
        <f t="shared" si="296"/>
        <v>#DIV/0!</v>
      </c>
    </row>
    <row r="511" spans="1:12" s="540" customFormat="1" ht="13.8" x14ac:dyDescent="0.25">
      <c r="A511" s="633" t="s">
        <v>577</v>
      </c>
      <c r="B511" s="634"/>
      <c r="C511" s="635">
        <v>3237</v>
      </c>
      <c r="D511" s="636" t="s">
        <v>679</v>
      </c>
      <c r="E511" s="637"/>
      <c r="F511" s="637"/>
      <c r="G511" s="637"/>
      <c r="H511" s="637">
        <v>4875</v>
      </c>
      <c r="I511" s="637">
        <v>0</v>
      </c>
      <c r="J511" s="637">
        <f t="shared" si="300"/>
        <v>4875</v>
      </c>
      <c r="K511" s="638"/>
      <c r="L511" s="740">
        <f t="shared" si="296"/>
        <v>100</v>
      </c>
    </row>
    <row r="512" spans="1:12" s="540" customFormat="1" ht="13.8" x14ac:dyDescent="0.25">
      <c r="A512" s="623" t="s">
        <v>577</v>
      </c>
      <c r="B512" s="631"/>
      <c r="C512" s="627">
        <v>32</v>
      </c>
      <c r="D512" s="628" t="s">
        <v>47</v>
      </c>
      <c r="E512" s="629"/>
      <c r="F512" s="629"/>
      <c r="G512" s="629"/>
      <c r="H512" s="629">
        <f>H513</f>
        <v>16500</v>
      </c>
      <c r="I512" s="629">
        <f t="shared" ref="I512:J512" si="301">I513</f>
        <v>0</v>
      </c>
      <c r="J512" s="629">
        <f t="shared" si="301"/>
        <v>16500</v>
      </c>
      <c r="K512" s="630"/>
      <c r="L512" s="742">
        <f t="shared" si="296"/>
        <v>100</v>
      </c>
    </row>
    <row r="513" spans="1:12" s="540" customFormat="1" ht="13.8" x14ac:dyDescent="0.25">
      <c r="A513" s="623" t="s">
        <v>577</v>
      </c>
      <c r="B513" s="631"/>
      <c r="C513" s="632">
        <v>323</v>
      </c>
      <c r="D513" s="621" t="s">
        <v>56</v>
      </c>
      <c r="E513" s="615"/>
      <c r="F513" s="615"/>
      <c r="G513" s="615"/>
      <c r="H513" s="615">
        <f>SUM(H514:H515)</f>
        <v>16500</v>
      </c>
      <c r="I513" s="615">
        <f t="shared" ref="I513:J513" si="302">SUM(I514:I515)</f>
        <v>0</v>
      </c>
      <c r="J513" s="615">
        <f t="shared" si="302"/>
        <v>16500</v>
      </c>
      <c r="K513" s="622"/>
      <c r="L513" s="740">
        <f t="shared" si="296"/>
        <v>100</v>
      </c>
    </row>
    <row r="514" spans="1:12" s="540" customFormat="1" ht="13.8" x14ac:dyDescent="0.25">
      <c r="A514" s="623" t="s">
        <v>577</v>
      </c>
      <c r="B514" s="631"/>
      <c r="C514" s="632">
        <v>3237</v>
      </c>
      <c r="D514" s="621" t="s">
        <v>680</v>
      </c>
      <c r="E514" s="615"/>
      <c r="F514" s="615"/>
      <c r="G514" s="615"/>
      <c r="H514" s="615">
        <v>14025</v>
      </c>
      <c r="I514" s="615">
        <v>0</v>
      </c>
      <c r="J514" s="637">
        <f t="shared" si="300"/>
        <v>14025</v>
      </c>
      <c r="K514" s="622"/>
      <c r="L514" s="740">
        <f t="shared" si="296"/>
        <v>100</v>
      </c>
    </row>
    <row r="515" spans="1:12" s="540" customFormat="1" ht="13.8" x14ac:dyDescent="0.25">
      <c r="A515" s="623" t="s">
        <v>577</v>
      </c>
      <c r="B515" s="631"/>
      <c r="C515" s="632">
        <v>3237</v>
      </c>
      <c r="D515" s="621" t="s">
        <v>681</v>
      </c>
      <c r="E515" s="615"/>
      <c r="F515" s="615"/>
      <c r="G515" s="615"/>
      <c r="H515" s="615">
        <v>2475</v>
      </c>
      <c r="I515" s="615">
        <v>0</v>
      </c>
      <c r="J515" s="637">
        <f t="shared" si="300"/>
        <v>2475</v>
      </c>
      <c r="K515" s="622"/>
      <c r="L515" s="740">
        <f t="shared" si="296"/>
        <v>100</v>
      </c>
    </row>
    <row r="516" spans="1:12" s="540" customFormat="1" ht="13.8" x14ac:dyDescent="0.25">
      <c r="A516" s="623" t="s">
        <v>577</v>
      </c>
      <c r="B516" s="631"/>
      <c r="C516" s="627">
        <v>32</v>
      </c>
      <c r="D516" s="628" t="s">
        <v>47</v>
      </c>
      <c r="E516" s="629"/>
      <c r="F516" s="629"/>
      <c r="G516" s="629"/>
      <c r="H516" s="629">
        <f>H517</f>
        <v>4500</v>
      </c>
      <c r="I516" s="629">
        <f t="shared" ref="I516:J516" si="303">I517</f>
        <v>0</v>
      </c>
      <c r="J516" s="629">
        <f t="shared" si="303"/>
        <v>4500</v>
      </c>
      <c r="K516" s="630"/>
      <c r="L516" s="742">
        <f t="shared" si="296"/>
        <v>100</v>
      </c>
    </row>
    <row r="517" spans="1:12" s="540" customFormat="1" ht="13.8" x14ac:dyDescent="0.25">
      <c r="A517" s="623" t="s">
        <v>577</v>
      </c>
      <c r="B517" s="631"/>
      <c r="C517" s="632">
        <v>323</v>
      </c>
      <c r="D517" s="621" t="s">
        <v>56</v>
      </c>
      <c r="E517" s="615"/>
      <c r="F517" s="615"/>
      <c r="G517" s="615"/>
      <c r="H517" s="615">
        <f>SUM(H518:H519)</f>
        <v>4500</v>
      </c>
      <c r="I517" s="615">
        <f t="shared" ref="I517:J517" si="304">SUM(I518:I519)</f>
        <v>0</v>
      </c>
      <c r="J517" s="615">
        <f t="shared" si="304"/>
        <v>4500</v>
      </c>
      <c r="K517" s="622"/>
      <c r="L517" s="740">
        <f t="shared" si="296"/>
        <v>100</v>
      </c>
    </row>
    <row r="518" spans="1:12" ht="13.8" x14ac:dyDescent="0.25">
      <c r="A518" s="623" t="s">
        <v>577</v>
      </c>
      <c r="B518" s="631"/>
      <c r="C518" s="632">
        <v>3233</v>
      </c>
      <c r="D518" s="621" t="s">
        <v>59</v>
      </c>
      <c r="E518" s="615"/>
      <c r="F518" s="615"/>
      <c r="G518" s="615"/>
      <c r="H518" s="615">
        <v>3825</v>
      </c>
      <c r="I518" s="615">
        <v>0</v>
      </c>
      <c r="J518" s="637">
        <f t="shared" si="300"/>
        <v>3825</v>
      </c>
      <c r="K518" s="638"/>
      <c r="L518" s="740">
        <f t="shared" si="296"/>
        <v>100</v>
      </c>
    </row>
    <row r="519" spans="1:12" s="540" customFormat="1" ht="14.4" thickBot="1" x14ac:dyDescent="0.3">
      <c r="A519" s="675" t="s">
        <v>577</v>
      </c>
      <c r="B519" s="639"/>
      <c r="C519" s="640">
        <v>3233</v>
      </c>
      <c r="D519" s="641" t="s">
        <v>59</v>
      </c>
      <c r="E519" s="642"/>
      <c r="F519" s="642"/>
      <c r="G519" s="642"/>
      <c r="H519" s="642">
        <v>675</v>
      </c>
      <c r="I519" s="642">
        <v>0</v>
      </c>
      <c r="J519" s="642">
        <f t="shared" si="300"/>
        <v>675</v>
      </c>
      <c r="K519" s="643"/>
      <c r="L519" s="741">
        <f t="shared" si="296"/>
        <v>100</v>
      </c>
    </row>
    <row r="520" spans="1:12" s="540" customFormat="1" ht="14.4" thickTop="1" x14ac:dyDescent="0.25">
      <c r="A520" s="401"/>
      <c r="B520" s="451"/>
      <c r="C520" s="40"/>
      <c r="D520" s="396" t="s">
        <v>407</v>
      </c>
      <c r="E520" s="373"/>
      <c r="F520" s="372"/>
      <c r="G520" s="372"/>
      <c r="H520" s="372"/>
      <c r="I520" s="372"/>
      <c r="J520" s="372"/>
      <c r="K520" s="529"/>
      <c r="L520" s="850">
        <f>AVERAGE(J522/H522*100)</f>
        <v>0</v>
      </c>
    </row>
    <row r="521" spans="1:12" s="540" customFormat="1" ht="13.8" x14ac:dyDescent="0.25">
      <c r="A521" s="401"/>
      <c r="B521" s="451"/>
      <c r="C521" s="40"/>
      <c r="D521" s="395" t="s">
        <v>651</v>
      </c>
      <c r="E521" s="363"/>
      <c r="F521" s="372"/>
      <c r="G521" s="372"/>
      <c r="H521" s="372"/>
      <c r="I521" s="372"/>
      <c r="J521" s="372"/>
      <c r="K521" s="529"/>
      <c r="L521" s="850"/>
    </row>
    <row r="522" spans="1:12" s="540" customFormat="1" ht="31.2" x14ac:dyDescent="0.3">
      <c r="A522" s="425"/>
      <c r="B522" s="452"/>
      <c r="C522" s="97"/>
      <c r="D522" s="429" t="s">
        <v>647</v>
      </c>
      <c r="E522" s="426">
        <v>100000</v>
      </c>
      <c r="F522" s="424">
        <f t="shared" ref="F522:K523" si="305">SUM(F523)</f>
        <v>150000</v>
      </c>
      <c r="G522" s="424">
        <f t="shared" si="305"/>
        <v>19908.421262193908</v>
      </c>
      <c r="H522" s="424">
        <f>SUM(H523)</f>
        <v>20000</v>
      </c>
      <c r="I522" s="424">
        <f>SUM(I523)</f>
        <v>-20000</v>
      </c>
      <c r="J522" s="424">
        <f>SUM(J523)</f>
        <v>0</v>
      </c>
      <c r="K522" s="530">
        <f t="shared" si="305"/>
        <v>0</v>
      </c>
      <c r="L522" s="851"/>
    </row>
    <row r="523" spans="1:12" s="540" customFormat="1" ht="13.8" x14ac:dyDescent="0.25">
      <c r="A523" s="358" t="s">
        <v>578</v>
      </c>
      <c r="B523" s="447"/>
      <c r="C523" s="354">
        <v>42</v>
      </c>
      <c r="D523" s="365" t="s">
        <v>250</v>
      </c>
      <c r="E523" s="362">
        <v>100000</v>
      </c>
      <c r="F523" s="362">
        <f t="shared" si="305"/>
        <v>150000</v>
      </c>
      <c r="G523" s="362">
        <f t="shared" si="305"/>
        <v>19908.421262193908</v>
      </c>
      <c r="H523" s="362">
        <f>SUM(H524+H526)</f>
        <v>20000</v>
      </c>
      <c r="I523" s="362">
        <f>SUM(I524+I526)</f>
        <v>-20000</v>
      </c>
      <c r="J523" s="362">
        <f>SUM(J524+J526)</f>
        <v>0</v>
      </c>
      <c r="K523" s="533">
        <f t="shared" si="305"/>
        <v>0</v>
      </c>
      <c r="L523" s="734">
        <f>AVERAGE(J523/H523*100)</f>
        <v>0</v>
      </c>
    </row>
    <row r="524" spans="1:12" s="542" customFormat="1" ht="13.8" x14ac:dyDescent="0.25">
      <c r="A524" s="355" t="s">
        <v>578</v>
      </c>
      <c r="B524" s="446"/>
      <c r="C524" s="367">
        <v>421</v>
      </c>
      <c r="D524" s="368" t="s">
        <v>97</v>
      </c>
      <c r="E524" s="363">
        <v>100000</v>
      </c>
      <c r="F524" s="363">
        <f t="shared" ref="F524:K524" si="306">SUM(F525:F525)</f>
        <v>150000</v>
      </c>
      <c r="G524" s="363">
        <f t="shared" si="306"/>
        <v>19908.421262193908</v>
      </c>
      <c r="H524" s="363">
        <f>SUM(H525)</f>
        <v>20000</v>
      </c>
      <c r="I524" s="363">
        <f>SUM(I525)</f>
        <v>-20000</v>
      </c>
      <c r="J524" s="363">
        <f>SUM(J525)</f>
        <v>0</v>
      </c>
      <c r="K524" s="532">
        <f t="shared" si="306"/>
        <v>0</v>
      </c>
      <c r="L524" s="384">
        <f t="shared" ref="L524:L527" si="307">AVERAGE(J524/H524*100)</f>
        <v>0</v>
      </c>
    </row>
    <row r="525" spans="1:12" s="540" customFormat="1" ht="13.8" x14ac:dyDescent="0.25">
      <c r="A525" s="366" t="s">
        <v>578</v>
      </c>
      <c r="B525" s="446"/>
      <c r="C525" s="367">
        <v>4214</v>
      </c>
      <c r="D525" s="368" t="s">
        <v>251</v>
      </c>
      <c r="E525" s="363">
        <v>100000</v>
      </c>
      <c r="F525" s="363">
        <v>150000</v>
      </c>
      <c r="G525" s="363">
        <f>F525/7.5345</f>
        <v>19908.421262193908</v>
      </c>
      <c r="H525" s="363">
        <v>20000</v>
      </c>
      <c r="I525" s="363">
        <v>-20000</v>
      </c>
      <c r="J525" s="363">
        <f>SUM(H525+I525)</f>
        <v>0</v>
      </c>
      <c r="K525" s="532">
        <f>J525*7.5345</f>
        <v>0</v>
      </c>
      <c r="L525" s="384">
        <f t="shared" si="307"/>
        <v>0</v>
      </c>
    </row>
    <row r="526" spans="1:12" s="540" customFormat="1" ht="13.8" x14ac:dyDescent="0.25">
      <c r="A526" s="366" t="s">
        <v>578</v>
      </c>
      <c r="B526" s="721"/>
      <c r="C526" s="367">
        <v>421</v>
      </c>
      <c r="D526" s="366" t="s">
        <v>97</v>
      </c>
      <c r="E526" s="721"/>
      <c r="F526" s="722"/>
      <c r="G526" s="722"/>
      <c r="H526" s="363">
        <f>SUM(H527)</f>
        <v>0</v>
      </c>
      <c r="I526" s="363">
        <f t="shared" ref="I526:J526" si="308">SUM(I527)</f>
        <v>0</v>
      </c>
      <c r="J526" s="363">
        <f t="shared" si="308"/>
        <v>0</v>
      </c>
      <c r="K526" s="722"/>
      <c r="L526" s="384" t="e">
        <f t="shared" si="307"/>
        <v>#DIV/0!</v>
      </c>
    </row>
    <row r="527" spans="1:12" s="540" customFormat="1" ht="14.4" thickBot="1" x14ac:dyDescent="0.3">
      <c r="A527" s="603" t="s">
        <v>578</v>
      </c>
      <c r="B527" s="448"/>
      <c r="C527" s="386">
        <v>4214</v>
      </c>
      <c r="D527" s="387" t="s">
        <v>251</v>
      </c>
      <c r="E527" s="388"/>
      <c r="F527" s="388"/>
      <c r="G527" s="388"/>
      <c r="H527" s="388">
        <v>0</v>
      </c>
      <c r="I527" s="388">
        <v>0</v>
      </c>
      <c r="J527" s="388">
        <f>SUM(H527+I527)</f>
        <v>0</v>
      </c>
      <c r="K527" s="534"/>
      <c r="L527" s="389" t="e">
        <f t="shared" si="307"/>
        <v>#DIV/0!</v>
      </c>
    </row>
    <row r="528" spans="1:12" s="540" customFormat="1" ht="14.4" thickTop="1" x14ac:dyDescent="0.25">
      <c r="A528" s="401"/>
      <c r="B528" s="451"/>
      <c r="C528" s="40"/>
      <c r="D528" s="396" t="s">
        <v>407</v>
      </c>
      <c r="E528" s="373"/>
      <c r="F528" s="372"/>
      <c r="G528" s="372"/>
      <c r="H528" s="372"/>
      <c r="I528" s="372"/>
      <c r="J528" s="372"/>
      <c r="K528" s="529"/>
      <c r="L528" s="850">
        <f>AVERAGE(J530/H530*100)</f>
        <v>100</v>
      </c>
    </row>
    <row r="529" spans="1:12" ht="18" customHeight="1" x14ac:dyDescent="0.25">
      <c r="A529" s="401"/>
      <c r="B529" s="451"/>
      <c r="C529" s="40"/>
      <c r="D529" s="395" t="s">
        <v>671</v>
      </c>
      <c r="E529" s="363"/>
      <c r="F529" s="372"/>
      <c r="G529" s="372"/>
      <c r="H529" s="372"/>
      <c r="I529" s="372"/>
      <c r="J529" s="372"/>
      <c r="K529" s="529"/>
      <c r="L529" s="850"/>
    </row>
    <row r="530" spans="1:12" s="28" customFormat="1" ht="31.2" x14ac:dyDescent="0.3">
      <c r="A530" s="425"/>
      <c r="B530" s="452"/>
      <c r="C530" s="97"/>
      <c r="D530" s="429" t="s">
        <v>648</v>
      </c>
      <c r="E530" s="426">
        <v>100000</v>
      </c>
      <c r="F530" s="424">
        <f t="shared" ref="F530:K531" si="309">SUM(F531)</f>
        <v>150000</v>
      </c>
      <c r="G530" s="424">
        <f t="shared" si="309"/>
        <v>19908.421262193908</v>
      </c>
      <c r="H530" s="424">
        <f t="shared" si="309"/>
        <v>60000</v>
      </c>
      <c r="I530" s="424">
        <f t="shared" si="309"/>
        <v>0</v>
      </c>
      <c r="J530" s="424">
        <f t="shared" si="309"/>
        <v>60000</v>
      </c>
      <c r="K530" s="530">
        <f t="shared" si="309"/>
        <v>301380</v>
      </c>
      <c r="L530" s="851"/>
    </row>
    <row r="531" spans="1:12" ht="13.8" x14ac:dyDescent="0.25">
      <c r="A531" s="358" t="s">
        <v>579</v>
      </c>
      <c r="B531" s="447"/>
      <c r="C531" s="354">
        <v>42</v>
      </c>
      <c r="D531" s="365" t="s">
        <v>250</v>
      </c>
      <c r="E531" s="362">
        <v>100000</v>
      </c>
      <c r="F531" s="362">
        <f t="shared" si="309"/>
        <v>150000</v>
      </c>
      <c r="G531" s="362">
        <f t="shared" si="309"/>
        <v>19908.421262193908</v>
      </c>
      <c r="H531" s="362">
        <f>SUM(H532)</f>
        <v>60000</v>
      </c>
      <c r="I531" s="362">
        <f t="shared" si="309"/>
        <v>0</v>
      </c>
      <c r="J531" s="362">
        <f t="shared" si="309"/>
        <v>60000</v>
      </c>
      <c r="K531" s="533">
        <f t="shared" si="309"/>
        <v>301380</v>
      </c>
      <c r="L531" s="734">
        <f>AVERAGE(J531/H531*100)</f>
        <v>100</v>
      </c>
    </row>
    <row r="532" spans="1:12" ht="13.8" x14ac:dyDescent="0.25">
      <c r="A532" s="355" t="s">
        <v>579</v>
      </c>
      <c r="B532" s="446"/>
      <c r="C532" s="367">
        <v>421</v>
      </c>
      <c r="D532" s="368" t="s">
        <v>97</v>
      </c>
      <c r="E532" s="363">
        <v>100000</v>
      </c>
      <c r="F532" s="363">
        <f t="shared" ref="F532:K532" si="310">SUM(F534:F534)</f>
        <v>150000</v>
      </c>
      <c r="G532" s="363">
        <f t="shared" si="310"/>
        <v>19908.421262193908</v>
      </c>
      <c r="H532" s="363">
        <f>SUM(H533+H534)</f>
        <v>60000</v>
      </c>
      <c r="I532" s="363">
        <f t="shared" ref="I532:J532" si="311">SUM(I533+I534)</f>
        <v>0</v>
      </c>
      <c r="J532" s="363">
        <f t="shared" si="311"/>
        <v>60000</v>
      </c>
      <c r="K532" s="532">
        <f t="shared" si="310"/>
        <v>301380</v>
      </c>
      <c r="L532" s="384">
        <f t="shared" ref="L532:L534" si="312">AVERAGE(J532/H532*100)</f>
        <v>100</v>
      </c>
    </row>
    <row r="533" spans="1:12" ht="14.4" thickBot="1" x14ac:dyDescent="0.3">
      <c r="A533" s="404" t="s">
        <v>579</v>
      </c>
      <c r="B533" s="448"/>
      <c r="C533" s="386">
        <v>4214</v>
      </c>
      <c r="D533" s="387" t="s">
        <v>251</v>
      </c>
      <c r="E533" s="388">
        <v>100000</v>
      </c>
      <c r="F533" s="388">
        <v>150000</v>
      </c>
      <c r="G533" s="363">
        <f>F533/7.5345</f>
        <v>19908.421262193908</v>
      </c>
      <c r="H533" s="363">
        <v>20000</v>
      </c>
      <c r="I533" s="363">
        <v>0</v>
      </c>
      <c r="J533" s="363">
        <f>SUM(H533+I533)</f>
        <v>20000</v>
      </c>
      <c r="K533" s="532">
        <f>J533*7.5345</f>
        <v>150690</v>
      </c>
      <c r="L533" s="384">
        <f t="shared" si="312"/>
        <v>100</v>
      </c>
    </row>
    <row r="534" spans="1:12" s="390" customFormat="1" ht="15" thickTop="1" thickBot="1" x14ac:dyDescent="0.3">
      <c r="A534" s="404" t="s">
        <v>579</v>
      </c>
      <c r="B534" s="448"/>
      <c r="C534" s="386">
        <v>4214</v>
      </c>
      <c r="D534" s="387" t="s">
        <v>251</v>
      </c>
      <c r="E534" s="388">
        <v>100000</v>
      </c>
      <c r="F534" s="388">
        <v>150000</v>
      </c>
      <c r="G534" s="363">
        <f>F534/7.5345</f>
        <v>19908.421262193908</v>
      </c>
      <c r="H534" s="363">
        <v>40000</v>
      </c>
      <c r="I534" s="363">
        <v>0</v>
      </c>
      <c r="J534" s="363">
        <f>SUM(H534+I534)</f>
        <v>40000</v>
      </c>
      <c r="K534" s="532">
        <f>J534*7.5345</f>
        <v>301380</v>
      </c>
      <c r="L534" s="384">
        <f t="shared" si="312"/>
        <v>100</v>
      </c>
    </row>
    <row r="535" spans="1:12" ht="14.4" thickTop="1" x14ac:dyDescent="0.25">
      <c r="A535" s="692"/>
      <c r="B535" s="693"/>
      <c r="C535" s="694"/>
      <c r="D535" s="695" t="s">
        <v>407</v>
      </c>
      <c r="E535" s="618"/>
      <c r="F535" s="696"/>
      <c r="G535" s="645"/>
      <c r="H535" s="617"/>
      <c r="I535" s="617"/>
      <c r="J535" s="617"/>
      <c r="K535" s="697"/>
      <c r="L535" s="719"/>
    </row>
    <row r="536" spans="1:12" ht="15" x14ac:dyDescent="0.25">
      <c r="A536" s="692"/>
      <c r="B536" s="693"/>
      <c r="C536" s="698"/>
      <c r="D536" s="699" t="s">
        <v>672</v>
      </c>
      <c r="E536" s="618"/>
      <c r="F536" s="696"/>
      <c r="G536" s="645"/>
      <c r="H536" s="617"/>
      <c r="I536" s="617"/>
      <c r="J536" s="617"/>
      <c r="K536" s="697"/>
      <c r="L536" s="719"/>
    </row>
    <row r="537" spans="1:12" ht="28.5" customHeight="1" x14ac:dyDescent="0.25">
      <c r="A537" s="692"/>
      <c r="B537" s="693"/>
      <c r="C537" s="694"/>
      <c r="D537" s="700" t="s">
        <v>649</v>
      </c>
      <c r="E537" s="618"/>
      <c r="F537" s="696"/>
      <c r="G537" s="645"/>
      <c r="H537" s="617">
        <v>0</v>
      </c>
      <c r="I537" s="617">
        <f>SUM(I538)</f>
        <v>0</v>
      </c>
      <c r="J537" s="617">
        <f t="shared" ref="J537" si="313">SUM(J538)</f>
        <v>0</v>
      </c>
      <c r="K537" s="697"/>
      <c r="L537" s="719" t="e">
        <f>AVERAGE(J537/H537*100)</f>
        <v>#DIV/0!</v>
      </c>
    </row>
    <row r="538" spans="1:12" ht="25.95" customHeight="1" x14ac:dyDescent="0.25">
      <c r="A538" s="701" t="s">
        <v>597</v>
      </c>
      <c r="B538" s="631"/>
      <c r="C538" s="649">
        <v>42</v>
      </c>
      <c r="D538" s="702" t="s">
        <v>250</v>
      </c>
      <c r="E538" s="685"/>
      <c r="F538" s="686"/>
      <c r="G538" s="622"/>
      <c r="H538" s="615">
        <v>0</v>
      </c>
      <c r="I538" s="615">
        <f>SUM(I539+I541)</f>
        <v>0</v>
      </c>
      <c r="J538" s="615">
        <f t="shared" ref="J538" si="314">SUM(J539+J541)</f>
        <v>0</v>
      </c>
      <c r="K538" s="615"/>
      <c r="L538" s="615" t="e">
        <f>AVERAGE(J538/H538*100)</f>
        <v>#DIV/0!</v>
      </c>
    </row>
    <row r="539" spans="1:12" ht="13.8" x14ac:dyDescent="0.25">
      <c r="A539" s="701" t="s">
        <v>597</v>
      </c>
      <c r="B539" s="631"/>
      <c r="C539" s="667">
        <v>421</v>
      </c>
      <c r="D539" s="702" t="s">
        <v>97</v>
      </c>
      <c r="E539" s="685"/>
      <c r="F539" s="686"/>
      <c r="G539" s="622"/>
      <c r="H539" s="615">
        <v>0</v>
      </c>
      <c r="I539" s="615">
        <f>SUM(I540)</f>
        <v>0</v>
      </c>
      <c r="J539" s="615">
        <f t="shared" ref="J539" si="315">SUM(J540)</f>
        <v>0</v>
      </c>
      <c r="K539" s="615"/>
      <c r="L539" s="615" t="e">
        <f t="shared" ref="L539:L563" si="316">AVERAGE(J539/H539*100)</f>
        <v>#DIV/0!</v>
      </c>
    </row>
    <row r="540" spans="1:12" s="40" customFormat="1" ht="13.8" x14ac:dyDescent="0.25">
      <c r="A540" s="701" t="s">
        <v>597</v>
      </c>
      <c r="B540" s="631"/>
      <c r="C540" s="667">
        <v>4214</v>
      </c>
      <c r="D540" s="702" t="s">
        <v>251</v>
      </c>
      <c r="E540" s="685"/>
      <c r="F540" s="686"/>
      <c r="G540" s="622"/>
      <c r="H540" s="615">
        <v>0</v>
      </c>
      <c r="I540" s="615">
        <v>0</v>
      </c>
      <c r="J540" s="615">
        <f>SUM(H540+I540)</f>
        <v>0</v>
      </c>
      <c r="K540" s="615"/>
      <c r="L540" s="615" t="e">
        <f t="shared" si="316"/>
        <v>#DIV/0!</v>
      </c>
    </row>
    <row r="541" spans="1:12" s="40" customFormat="1" ht="13.8" x14ac:dyDescent="0.25">
      <c r="A541" s="701" t="s">
        <v>597</v>
      </c>
      <c r="B541" s="631"/>
      <c r="C541" s="667">
        <v>421</v>
      </c>
      <c r="D541" s="702" t="s">
        <v>97</v>
      </c>
      <c r="E541" s="685"/>
      <c r="F541" s="686"/>
      <c r="G541" s="622"/>
      <c r="H541" s="615">
        <v>0</v>
      </c>
      <c r="I541" s="615">
        <f>SUM(I542)</f>
        <v>0</v>
      </c>
      <c r="J541" s="615">
        <f>SUM(J542)</f>
        <v>0</v>
      </c>
      <c r="K541" s="615"/>
      <c r="L541" s="615" t="e">
        <f t="shared" si="316"/>
        <v>#DIV/0!</v>
      </c>
    </row>
    <row r="542" spans="1:12" s="40" customFormat="1" ht="14.4" thickBot="1" x14ac:dyDescent="0.3">
      <c r="A542" s="703" t="s">
        <v>597</v>
      </c>
      <c r="B542" s="639"/>
      <c r="C542" s="688">
        <v>4214</v>
      </c>
      <c r="D542" s="689" t="s">
        <v>251</v>
      </c>
      <c r="E542" s="690"/>
      <c r="F542" s="691"/>
      <c r="G542" s="643"/>
      <c r="H542" s="642">
        <v>0</v>
      </c>
      <c r="I542" s="642">
        <v>0</v>
      </c>
      <c r="J542" s="642">
        <f>SUM(H542+I542)</f>
        <v>0</v>
      </c>
      <c r="K542" s="637"/>
      <c r="L542" s="637" t="e">
        <f t="shared" ref="L542" si="317">AVERAGE(J542/H542*100)</f>
        <v>#DIV/0!</v>
      </c>
    </row>
    <row r="543" spans="1:12" s="40" customFormat="1" ht="14.4" thickTop="1" x14ac:dyDescent="0.25">
      <c r="A543" s="652"/>
      <c r="B543" s="672"/>
      <c r="C543" s="654"/>
      <c r="D543" s="644" t="s">
        <v>407</v>
      </c>
      <c r="E543" s="655"/>
      <c r="F543" s="617"/>
      <c r="G543" s="617"/>
      <c r="H543" s="617"/>
      <c r="I543" s="617"/>
      <c r="J543" s="617"/>
      <c r="K543" s="645"/>
      <c r="L543" s="846" t="e">
        <f>AVERAGE(J545/H545*100)</f>
        <v>#DIV/0!</v>
      </c>
    </row>
    <row r="544" spans="1:12" s="40" customFormat="1" ht="13.8" x14ac:dyDescent="0.25">
      <c r="A544" s="652"/>
      <c r="B544" s="672"/>
      <c r="C544" s="654"/>
      <c r="D544" s="644" t="s">
        <v>658</v>
      </c>
      <c r="E544" s="615"/>
      <c r="F544" s="617"/>
      <c r="G544" s="617"/>
      <c r="H544" s="617"/>
      <c r="I544" s="617"/>
      <c r="J544" s="617"/>
      <c r="K544" s="645"/>
      <c r="L544" s="847"/>
    </row>
    <row r="545" spans="1:12" s="40" customFormat="1" ht="46.8" x14ac:dyDescent="0.3">
      <c r="A545" s="656"/>
      <c r="B545" s="668"/>
      <c r="C545" s="658"/>
      <c r="D545" s="616" t="s">
        <v>689</v>
      </c>
      <c r="E545" s="624">
        <v>249000</v>
      </c>
      <c r="F545" s="602" t="e">
        <f t="shared" ref="F545:K546" si="318">SUM(F546)</f>
        <v>#REF!</v>
      </c>
      <c r="G545" s="602" t="e">
        <f t="shared" si="318"/>
        <v>#REF!</v>
      </c>
      <c r="H545" s="602">
        <f>SUM(H546)</f>
        <v>0</v>
      </c>
      <c r="I545" s="602">
        <f t="shared" ref="I545:J545" si="319">SUM(I546)</f>
        <v>20000</v>
      </c>
      <c r="J545" s="602">
        <f t="shared" si="319"/>
        <v>20000</v>
      </c>
      <c r="K545" s="660" t="e">
        <f t="shared" si="318"/>
        <v>#REF!</v>
      </c>
      <c r="L545" s="848"/>
    </row>
    <row r="546" spans="1:12" s="40" customFormat="1" ht="13.8" x14ac:dyDescent="0.25">
      <c r="A546" s="673" t="s">
        <v>573</v>
      </c>
      <c r="B546" s="626"/>
      <c r="C546" s="627">
        <v>42</v>
      </c>
      <c r="D546" s="628" t="s">
        <v>250</v>
      </c>
      <c r="E546" s="629">
        <v>249000</v>
      </c>
      <c r="F546" s="629" t="e">
        <f t="shared" si="318"/>
        <v>#REF!</v>
      </c>
      <c r="G546" s="629" t="e">
        <f t="shared" si="318"/>
        <v>#REF!</v>
      </c>
      <c r="H546" s="629">
        <f t="shared" si="318"/>
        <v>0</v>
      </c>
      <c r="I546" s="629">
        <f t="shared" si="318"/>
        <v>20000</v>
      </c>
      <c r="J546" s="629">
        <f t="shared" si="318"/>
        <v>20000</v>
      </c>
      <c r="K546" s="630" t="e">
        <f t="shared" si="318"/>
        <v>#REF!</v>
      </c>
      <c r="L546" s="735" t="e">
        <f>AVERAGE(J546/H546*100)</f>
        <v>#DIV/0!</v>
      </c>
    </row>
    <row r="547" spans="1:12" s="40" customFormat="1" ht="13.8" x14ac:dyDescent="0.25">
      <c r="A547" s="674" t="s">
        <v>573</v>
      </c>
      <c r="B547" s="631"/>
      <c r="C547" s="632">
        <v>421</v>
      </c>
      <c r="D547" s="621" t="s">
        <v>97</v>
      </c>
      <c r="E547" s="615">
        <v>249000</v>
      </c>
      <c r="F547" s="615" t="e">
        <f>SUM(F548+#REF!+F477)</f>
        <v>#REF!</v>
      </c>
      <c r="G547" s="615" t="e">
        <f>SUM(G548+#REF!+G477)</f>
        <v>#REF!</v>
      </c>
      <c r="H547" s="615">
        <f>SUM(H548+H477)</f>
        <v>0</v>
      </c>
      <c r="I547" s="615">
        <f>SUM(I548+I477)</f>
        <v>20000</v>
      </c>
      <c r="J547" s="615">
        <f>SUM(J548+J477)</f>
        <v>20000</v>
      </c>
      <c r="K547" s="622" t="e">
        <f>SUM(K548+#REF!+K477)</f>
        <v>#REF!</v>
      </c>
      <c r="L547" s="650" t="e">
        <f t="shared" ref="L547:L548" si="320">AVERAGE(J547/H547*100)</f>
        <v>#DIV/0!</v>
      </c>
    </row>
    <row r="548" spans="1:12" s="97" customFormat="1" ht="16.2" thickBot="1" x14ac:dyDescent="0.35">
      <c r="A548" s="675" t="s">
        <v>573</v>
      </c>
      <c r="B548" s="639"/>
      <c r="C548" s="640">
        <v>4214</v>
      </c>
      <c r="D548" s="641" t="s">
        <v>251</v>
      </c>
      <c r="E548" s="642">
        <v>249000</v>
      </c>
      <c r="F548" s="642">
        <v>50000</v>
      </c>
      <c r="G548" s="642">
        <f>F548/7.5345</f>
        <v>6636.1404207313026</v>
      </c>
      <c r="H548" s="642">
        <v>0</v>
      </c>
      <c r="I548" s="642">
        <v>20000</v>
      </c>
      <c r="J548" s="642">
        <f>SUM(H548+I548)</f>
        <v>20000</v>
      </c>
      <c r="K548" s="622">
        <f>J548*7.5345</f>
        <v>150690</v>
      </c>
      <c r="L548" s="740" t="e">
        <f t="shared" si="320"/>
        <v>#DIV/0!</v>
      </c>
    </row>
    <row r="549" spans="1:12" s="28" customFormat="1" ht="18.600000000000001" thickTop="1" thickBot="1" x14ac:dyDescent="0.35">
      <c r="A549" s="869" t="s">
        <v>638</v>
      </c>
      <c r="B549" s="870"/>
      <c r="C549" s="870"/>
      <c r="D549" s="871"/>
      <c r="E549" s="415">
        <v>120000</v>
      </c>
      <c r="F549" s="415">
        <f t="shared" ref="F549:G549" si="321">SUM(F552)</f>
        <v>0</v>
      </c>
      <c r="G549" s="415">
        <f t="shared" si="321"/>
        <v>0</v>
      </c>
      <c r="H549" s="415">
        <f>SUM(H552+H559)</f>
        <v>48000</v>
      </c>
      <c r="I549" s="415">
        <f t="shared" ref="I549:J549" si="322">SUM(I552+I559)</f>
        <v>0</v>
      </c>
      <c r="J549" s="415">
        <f t="shared" si="322"/>
        <v>48000</v>
      </c>
      <c r="K549" s="527">
        <f t="shared" ref="K549" si="323">SUM(K552)</f>
        <v>0</v>
      </c>
      <c r="L549" s="771">
        <f t="shared" si="316"/>
        <v>100</v>
      </c>
    </row>
    <row r="550" spans="1:12" s="40" customFormat="1" ht="13.8" x14ac:dyDescent="0.25">
      <c r="A550" s="652"/>
      <c r="B550" s="654"/>
      <c r="C550" s="654"/>
      <c r="D550" s="644" t="s">
        <v>639</v>
      </c>
      <c r="E550" s="655"/>
      <c r="F550" s="617"/>
      <c r="G550" s="617"/>
      <c r="H550" s="617"/>
      <c r="I550" s="617"/>
      <c r="J550" s="617"/>
      <c r="K550" s="645"/>
      <c r="L550" s="617"/>
    </row>
    <row r="551" spans="1:12" s="594" customFormat="1" ht="14.4" thickBot="1" x14ac:dyDescent="0.3">
      <c r="A551" s="652"/>
      <c r="B551" s="654"/>
      <c r="C551" s="654"/>
      <c r="D551" s="644" t="s">
        <v>662</v>
      </c>
      <c r="E551" s="615"/>
      <c r="F551" s="617"/>
      <c r="G551" s="617"/>
      <c r="H551" s="617"/>
      <c r="I551" s="617"/>
      <c r="J551" s="617"/>
      <c r="K551" s="645"/>
      <c r="L551" s="617"/>
    </row>
    <row r="552" spans="1:12" ht="16.2" thickTop="1" x14ac:dyDescent="0.3">
      <c r="A552" s="652"/>
      <c r="B552" s="654"/>
      <c r="C552" s="654"/>
      <c r="D552" s="720" t="s">
        <v>223</v>
      </c>
      <c r="E552" s="615">
        <v>120000</v>
      </c>
      <c r="F552" s="602">
        <f t="shared" ref="F552:K553" si="324">SUM(F553)</f>
        <v>0</v>
      </c>
      <c r="G552" s="602">
        <f t="shared" si="324"/>
        <v>0</v>
      </c>
      <c r="H552" s="602">
        <f t="shared" si="324"/>
        <v>30000</v>
      </c>
      <c r="I552" s="602">
        <f t="shared" si="324"/>
        <v>0</v>
      </c>
      <c r="J552" s="602">
        <f t="shared" si="324"/>
        <v>30000</v>
      </c>
      <c r="K552" s="660">
        <f t="shared" si="324"/>
        <v>0</v>
      </c>
      <c r="L552" s="602">
        <f t="shared" si="316"/>
        <v>100</v>
      </c>
    </row>
    <row r="553" spans="1:12" ht="13.8" x14ac:dyDescent="0.25">
      <c r="A553" s="673" t="s">
        <v>466</v>
      </c>
      <c r="B553" s="625"/>
      <c r="C553" s="627">
        <v>42</v>
      </c>
      <c r="D553" s="628" t="s">
        <v>250</v>
      </c>
      <c r="E553" s="629">
        <v>120000</v>
      </c>
      <c r="F553" s="629">
        <f t="shared" si="324"/>
        <v>0</v>
      </c>
      <c r="G553" s="629">
        <f t="shared" si="324"/>
        <v>0</v>
      </c>
      <c r="H553" s="629">
        <f t="shared" si="324"/>
        <v>30000</v>
      </c>
      <c r="I553" s="629">
        <f t="shared" si="324"/>
        <v>0</v>
      </c>
      <c r="J553" s="629">
        <f t="shared" si="324"/>
        <v>30000</v>
      </c>
      <c r="K553" s="630">
        <f t="shared" si="324"/>
        <v>0</v>
      </c>
      <c r="L553" s="629">
        <f t="shared" si="316"/>
        <v>100</v>
      </c>
    </row>
    <row r="554" spans="1:12" s="97" customFormat="1" ht="15.6" x14ac:dyDescent="0.3">
      <c r="A554" s="674" t="s">
        <v>466</v>
      </c>
      <c r="B554" s="623"/>
      <c r="C554" s="632">
        <v>426</v>
      </c>
      <c r="D554" s="621" t="s">
        <v>117</v>
      </c>
      <c r="E554" s="615">
        <v>120000</v>
      </c>
      <c r="F554" s="615">
        <f t="shared" ref="F554:K554" si="325">SUM(F555:F556)</f>
        <v>0</v>
      </c>
      <c r="G554" s="615">
        <f t="shared" si="325"/>
        <v>0</v>
      </c>
      <c r="H554" s="615">
        <f t="shared" si="325"/>
        <v>30000</v>
      </c>
      <c r="I554" s="615">
        <f t="shared" si="325"/>
        <v>0</v>
      </c>
      <c r="J554" s="615">
        <f t="shared" si="325"/>
        <v>30000</v>
      </c>
      <c r="K554" s="622">
        <f t="shared" si="325"/>
        <v>0</v>
      </c>
      <c r="L554" s="615">
        <f t="shared" si="316"/>
        <v>100</v>
      </c>
    </row>
    <row r="555" spans="1:12" s="28" customFormat="1" ht="13.8" x14ac:dyDescent="0.25">
      <c r="A555" s="674" t="s">
        <v>466</v>
      </c>
      <c r="B555" s="623"/>
      <c r="C555" s="632">
        <v>4263</v>
      </c>
      <c r="D555" s="621" t="s">
        <v>260</v>
      </c>
      <c r="E555" s="615"/>
      <c r="F555" s="615">
        <v>0</v>
      </c>
      <c r="G555" s="615">
        <v>0</v>
      </c>
      <c r="H555" s="615">
        <v>25500</v>
      </c>
      <c r="I555" s="615">
        <v>0</v>
      </c>
      <c r="J555" s="615">
        <f>SUM(H555+I555)</f>
        <v>25500</v>
      </c>
      <c r="K555" s="622">
        <v>0</v>
      </c>
      <c r="L555" s="615">
        <f t="shared" si="316"/>
        <v>100</v>
      </c>
    </row>
    <row r="556" spans="1:12" ht="13.8" x14ac:dyDescent="0.25">
      <c r="A556" s="674" t="s">
        <v>466</v>
      </c>
      <c r="B556" s="623"/>
      <c r="C556" s="632">
        <v>4263</v>
      </c>
      <c r="D556" s="621" t="s">
        <v>260</v>
      </c>
      <c r="E556" s="615">
        <v>120000</v>
      </c>
      <c r="F556" s="615">
        <v>0</v>
      </c>
      <c r="G556" s="615">
        <v>0</v>
      </c>
      <c r="H556" s="615">
        <v>4500</v>
      </c>
      <c r="I556" s="615">
        <v>0</v>
      </c>
      <c r="J556" s="615">
        <f>SUM(H556+I556)</f>
        <v>4500</v>
      </c>
      <c r="K556" s="622">
        <v>0</v>
      </c>
      <c r="L556" s="615">
        <f t="shared" si="316"/>
        <v>100</v>
      </c>
    </row>
    <row r="557" spans="1:12" ht="27.6" x14ac:dyDescent="0.25">
      <c r="A557" s="652"/>
      <c r="B557" s="654"/>
      <c r="C557" s="654"/>
      <c r="D557" s="644" t="s">
        <v>640</v>
      </c>
      <c r="E557" s="655"/>
      <c r="F557" s="617"/>
      <c r="G557" s="617"/>
      <c r="H557" s="617"/>
      <c r="I557" s="617"/>
      <c r="J557" s="617"/>
      <c r="K557" s="645"/>
      <c r="L557" s="617"/>
    </row>
    <row r="558" spans="1:12" ht="38.25" customHeight="1" x14ac:dyDescent="0.25">
      <c r="A558" s="652"/>
      <c r="B558" s="654"/>
      <c r="C558" s="654"/>
      <c r="D558" s="644" t="s">
        <v>662</v>
      </c>
      <c r="E558" s="615"/>
      <c r="F558" s="617"/>
      <c r="G558" s="617"/>
      <c r="H558" s="617"/>
      <c r="I558" s="617"/>
      <c r="J558" s="617"/>
      <c r="K558" s="645"/>
      <c r="L558" s="617"/>
    </row>
    <row r="559" spans="1:12" ht="15.6" x14ac:dyDescent="0.3">
      <c r="A559" s="652"/>
      <c r="B559" s="654"/>
      <c r="C559" s="654"/>
      <c r="D559" s="720" t="s">
        <v>223</v>
      </c>
      <c r="E559" s="615">
        <v>120000</v>
      </c>
      <c r="F559" s="602">
        <f t="shared" ref="F559:K560" si="326">SUM(F560)</f>
        <v>0</v>
      </c>
      <c r="G559" s="602">
        <f t="shared" si="326"/>
        <v>0</v>
      </c>
      <c r="H559" s="602">
        <f t="shared" si="326"/>
        <v>18000</v>
      </c>
      <c r="I559" s="602">
        <f t="shared" si="326"/>
        <v>0</v>
      </c>
      <c r="J559" s="602">
        <f t="shared" si="326"/>
        <v>18000</v>
      </c>
      <c r="K559" s="660">
        <f t="shared" si="326"/>
        <v>0</v>
      </c>
      <c r="L559" s="602">
        <f t="shared" si="316"/>
        <v>100</v>
      </c>
    </row>
    <row r="560" spans="1:12" ht="13.8" x14ac:dyDescent="0.25">
      <c r="A560" s="673" t="s">
        <v>466</v>
      </c>
      <c r="B560" s="625"/>
      <c r="C560" s="627">
        <v>42</v>
      </c>
      <c r="D560" s="628" t="s">
        <v>250</v>
      </c>
      <c r="E560" s="629">
        <v>120000</v>
      </c>
      <c r="F560" s="629">
        <f t="shared" si="326"/>
        <v>0</v>
      </c>
      <c r="G560" s="629">
        <f t="shared" si="326"/>
        <v>0</v>
      </c>
      <c r="H560" s="629">
        <f t="shared" si="326"/>
        <v>18000</v>
      </c>
      <c r="I560" s="629">
        <f t="shared" si="326"/>
        <v>0</v>
      </c>
      <c r="J560" s="629">
        <f t="shared" si="326"/>
        <v>18000</v>
      </c>
      <c r="K560" s="630">
        <f t="shared" si="326"/>
        <v>0</v>
      </c>
      <c r="L560" s="629">
        <f t="shared" si="316"/>
        <v>100</v>
      </c>
    </row>
    <row r="561" spans="1:12" s="416" customFormat="1" ht="17.399999999999999" x14ac:dyDescent="0.3">
      <c r="A561" s="674" t="s">
        <v>466</v>
      </c>
      <c r="B561" s="623"/>
      <c r="C561" s="632">
        <v>426</v>
      </c>
      <c r="D561" s="621" t="s">
        <v>117</v>
      </c>
      <c r="E561" s="615">
        <v>120000</v>
      </c>
      <c r="F561" s="615">
        <f t="shared" ref="F561:K561" si="327">SUM(F562:F563)</f>
        <v>0</v>
      </c>
      <c r="G561" s="615">
        <f t="shared" si="327"/>
        <v>0</v>
      </c>
      <c r="H561" s="615">
        <f t="shared" si="327"/>
        <v>18000</v>
      </c>
      <c r="I561" s="615">
        <f t="shared" si="327"/>
        <v>0</v>
      </c>
      <c r="J561" s="615">
        <f t="shared" si="327"/>
        <v>18000</v>
      </c>
      <c r="K561" s="622">
        <f t="shared" si="327"/>
        <v>0</v>
      </c>
      <c r="L561" s="615">
        <f t="shared" si="316"/>
        <v>100</v>
      </c>
    </row>
    <row r="562" spans="1:12" ht="13.8" x14ac:dyDescent="0.25">
      <c r="A562" s="674" t="s">
        <v>466</v>
      </c>
      <c r="B562" s="623"/>
      <c r="C562" s="632">
        <v>4263</v>
      </c>
      <c r="D562" s="621" t="s">
        <v>260</v>
      </c>
      <c r="E562" s="615"/>
      <c r="F562" s="615">
        <v>0</v>
      </c>
      <c r="G562" s="615">
        <v>0</v>
      </c>
      <c r="H562" s="615">
        <v>15300</v>
      </c>
      <c r="I562" s="615">
        <v>0</v>
      </c>
      <c r="J562" s="615">
        <f>SUM(H562+I562)</f>
        <v>15300</v>
      </c>
      <c r="K562" s="622">
        <v>0</v>
      </c>
      <c r="L562" s="615">
        <f t="shared" si="316"/>
        <v>100</v>
      </c>
    </row>
    <row r="563" spans="1:12" ht="14.4" thickBot="1" x14ac:dyDescent="0.3">
      <c r="A563" s="716" t="s">
        <v>466</v>
      </c>
      <c r="B563" s="633"/>
      <c r="C563" s="635">
        <v>4263</v>
      </c>
      <c r="D563" s="636" t="s">
        <v>260</v>
      </c>
      <c r="E563" s="637">
        <v>120000</v>
      </c>
      <c r="F563" s="637">
        <v>0</v>
      </c>
      <c r="G563" s="637">
        <v>0</v>
      </c>
      <c r="H563" s="637">
        <v>2700</v>
      </c>
      <c r="I563" s="637">
        <v>0</v>
      </c>
      <c r="J563" s="615">
        <f>SUM(H563+I563)</f>
        <v>2700</v>
      </c>
      <c r="K563" s="638">
        <v>0</v>
      </c>
      <c r="L563" s="615">
        <f t="shared" si="316"/>
        <v>100</v>
      </c>
    </row>
    <row r="564" spans="1:12" s="97" customFormat="1" ht="18.600000000000001" thickTop="1" thickBot="1" x14ac:dyDescent="0.35">
      <c r="A564" s="865" t="s">
        <v>636</v>
      </c>
      <c r="B564" s="866"/>
      <c r="C564" s="866"/>
      <c r="D564" s="867"/>
      <c r="E564" s="724" t="e">
        <f>SUM(E567+#REF!+E645+E655+E661+E667)</f>
        <v>#REF!</v>
      </c>
      <c r="F564" s="725" t="e">
        <f>SUM(F567+#REF!+F587)</f>
        <v>#REF!</v>
      </c>
      <c r="G564" s="725" t="e">
        <f>SUM(G567+#REF!+G587)</f>
        <v>#REF!</v>
      </c>
      <c r="H564" s="725">
        <f>SUM(H567+H587)</f>
        <v>172000</v>
      </c>
      <c r="I564" s="725">
        <f>SUM(I567+I587)</f>
        <v>0</v>
      </c>
      <c r="J564" s="725">
        <f>SUM(J567+J587)</f>
        <v>172000</v>
      </c>
      <c r="K564" s="726" t="e">
        <f>SUM(K567+#REF!+K587)</f>
        <v>#REF!</v>
      </c>
      <c r="L564" s="736">
        <f>AVERAGE(J564/H564*100)</f>
        <v>100</v>
      </c>
    </row>
    <row r="565" spans="1:12" s="28" customFormat="1" ht="13.8" x14ac:dyDescent="0.25">
      <c r="A565" s="652"/>
      <c r="B565" s="654"/>
      <c r="C565" s="654"/>
      <c r="D565" s="665" t="s">
        <v>178</v>
      </c>
      <c r="E565" s="705"/>
      <c r="F565" s="617"/>
      <c r="G565" s="617"/>
      <c r="H565" s="617"/>
      <c r="I565" s="617"/>
      <c r="J565" s="617"/>
      <c r="K565" s="645"/>
      <c r="L565" s="868">
        <f>AVERAGE(J567/H567*100)</f>
        <v>100</v>
      </c>
    </row>
    <row r="566" spans="1:12" ht="13.8" x14ac:dyDescent="0.25">
      <c r="A566" s="652"/>
      <c r="B566" s="654"/>
      <c r="C566" s="654"/>
      <c r="D566" s="665" t="s">
        <v>530</v>
      </c>
      <c r="E566" s="706"/>
      <c r="F566" s="617"/>
      <c r="G566" s="617"/>
      <c r="H566" s="617"/>
      <c r="I566" s="617"/>
      <c r="J566" s="617"/>
      <c r="K566" s="645"/>
      <c r="L566" s="847"/>
    </row>
    <row r="567" spans="1:12" ht="15.6" x14ac:dyDescent="0.3">
      <c r="A567" s="707"/>
      <c r="B567" s="708"/>
      <c r="C567" s="708"/>
      <c r="D567" s="709" t="s">
        <v>598</v>
      </c>
      <c r="E567" s="710">
        <f t="shared" ref="E567:K567" si="328">SUM(E568+E578)</f>
        <v>524300</v>
      </c>
      <c r="F567" s="602">
        <f t="shared" si="328"/>
        <v>362000</v>
      </c>
      <c r="G567" s="602">
        <f t="shared" si="328"/>
        <v>48045.656646094634</v>
      </c>
      <c r="H567" s="602">
        <f t="shared" si="328"/>
        <v>158000</v>
      </c>
      <c r="I567" s="602">
        <f t="shared" si="328"/>
        <v>0</v>
      </c>
      <c r="J567" s="602">
        <f t="shared" si="328"/>
        <v>158000</v>
      </c>
      <c r="K567" s="660">
        <f t="shared" si="328"/>
        <v>1011883.3500000001</v>
      </c>
      <c r="L567" s="848"/>
    </row>
    <row r="568" spans="1:12" ht="13.8" x14ac:dyDescent="0.25">
      <c r="A568" s="673" t="s">
        <v>580</v>
      </c>
      <c r="B568" s="711"/>
      <c r="C568" s="712">
        <v>31</v>
      </c>
      <c r="D568" s="713" t="s">
        <v>41</v>
      </c>
      <c r="E568" s="714">
        <f>SUM(E569+E572+E575)</f>
        <v>482800</v>
      </c>
      <c r="F568" s="714">
        <f>SUM(F569+F572+F575)</f>
        <v>350000</v>
      </c>
      <c r="G568" s="714">
        <f>SUM(G569+G572+G575)</f>
        <v>46452.982945119118</v>
      </c>
      <c r="H568" s="714">
        <f>SUM(H569+H572+H575)</f>
        <v>149000</v>
      </c>
      <c r="I568" s="714">
        <f t="shared" ref="I568:J568" si="329">SUM(I569+I572+I575)</f>
        <v>0</v>
      </c>
      <c r="J568" s="714">
        <f t="shared" si="329"/>
        <v>149000</v>
      </c>
      <c r="K568" s="715">
        <f>SUM(K569+K572+K575)</f>
        <v>954244.42500000005</v>
      </c>
      <c r="L568" s="735">
        <f>AVERAGE(J568/H568*100)</f>
        <v>100</v>
      </c>
    </row>
    <row r="569" spans="1:12" ht="13.8" x14ac:dyDescent="0.25">
      <c r="A569" s="674" t="s">
        <v>580</v>
      </c>
      <c r="B569" s="631"/>
      <c r="C569" s="632">
        <v>311</v>
      </c>
      <c r="D569" s="621" t="s">
        <v>183</v>
      </c>
      <c r="E569" s="615">
        <v>400000</v>
      </c>
      <c r="F569" s="615">
        <f t="shared" ref="F569:K569" si="330">F570</f>
        <v>300000</v>
      </c>
      <c r="G569" s="615">
        <f t="shared" si="330"/>
        <v>39816.842524387816</v>
      </c>
      <c r="H569" s="615">
        <f>SUM(H570+H571)</f>
        <v>120000</v>
      </c>
      <c r="I569" s="615">
        <f t="shared" ref="I569:J569" si="331">SUM(I570+I571)</f>
        <v>0</v>
      </c>
      <c r="J569" s="615">
        <f t="shared" si="331"/>
        <v>120000</v>
      </c>
      <c r="K569" s="622">
        <f t="shared" si="330"/>
        <v>768519</v>
      </c>
      <c r="L569" s="650">
        <f t="shared" ref="L569:L584" si="332">AVERAGE(J569/H569*100)</f>
        <v>100</v>
      </c>
    </row>
    <row r="570" spans="1:12" ht="13.8" x14ac:dyDescent="0.25">
      <c r="A570" s="674" t="s">
        <v>580</v>
      </c>
      <c r="B570" s="631"/>
      <c r="C570" s="632">
        <v>3111</v>
      </c>
      <c r="D570" s="621" t="s">
        <v>184</v>
      </c>
      <c r="E570" s="615">
        <v>400000</v>
      </c>
      <c r="F570" s="615">
        <v>300000</v>
      </c>
      <c r="G570" s="615">
        <f>F570/7.5345</f>
        <v>39816.842524387816</v>
      </c>
      <c r="H570" s="615">
        <v>102000</v>
      </c>
      <c r="I570" s="615">
        <v>0</v>
      </c>
      <c r="J570" s="615">
        <f>SUM(H570+I570)</f>
        <v>102000</v>
      </c>
      <c r="K570" s="622">
        <f>J570*7.5345</f>
        <v>768519</v>
      </c>
      <c r="L570" s="650">
        <f t="shared" si="332"/>
        <v>100</v>
      </c>
    </row>
    <row r="571" spans="1:12" ht="13.8" x14ac:dyDescent="0.25">
      <c r="A571" s="674" t="s">
        <v>580</v>
      </c>
      <c r="B571" s="631"/>
      <c r="C571" s="632">
        <v>3111</v>
      </c>
      <c r="D571" s="621" t="s">
        <v>184</v>
      </c>
      <c r="E571" s="615">
        <v>400000</v>
      </c>
      <c r="F571" s="615">
        <v>300000</v>
      </c>
      <c r="G571" s="615">
        <f>F571/7.5345</f>
        <v>39816.842524387816</v>
      </c>
      <c r="H571" s="615">
        <v>18000</v>
      </c>
      <c r="I571" s="615">
        <v>0</v>
      </c>
      <c r="J571" s="615">
        <f>SUM(H571+I571)</f>
        <v>18000</v>
      </c>
      <c r="K571" s="622">
        <f>J571*7.5345</f>
        <v>135621</v>
      </c>
      <c r="L571" s="650">
        <f t="shared" si="332"/>
        <v>100</v>
      </c>
    </row>
    <row r="572" spans="1:12" s="28" customFormat="1" ht="13.8" x14ac:dyDescent="0.25">
      <c r="A572" s="674" t="s">
        <v>580</v>
      </c>
      <c r="B572" s="631"/>
      <c r="C572" s="632">
        <v>312</v>
      </c>
      <c r="D572" s="621" t="s">
        <v>43</v>
      </c>
      <c r="E572" s="615">
        <v>14000</v>
      </c>
      <c r="F572" s="615">
        <f t="shared" ref="F572:K572" si="333">F573</f>
        <v>0</v>
      </c>
      <c r="G572" s="615">
        <f t="shared" si="333"/>
        <v>0</v>
      </c>
      <c r="H572" s="615">
        <f>SUM(H573+H574)</f>
        <v>9000</v>
      </c>
      <c r="I572" s="615">
        <f t="shared" ref="I572:J572" si="334">SUM(I573+I574)</f>
        <v>0</v>
      </c>
      <c r="J572" s="615">
        <f t="shared" si="334"/>
        <v>9000</v>
      </c>
      <c r="K572" s="622">
        <f t="shared" si="333"/>
        <v>57638.925000000003</v>
      </c>
      <c r="L572" s="650">
        <f t="shared" si="332"/>
        <v>100</v>
      </c>
    </row>
    <row r="573" spans="1:12" ht="13.8" x14ac:dyDescent="0.25">
      <c r="A573" s="674" t="s">
        <v>580</v>
      </c>
      <c r="B573" s="631"/>
      <c r="C573" s="632">
        <v>3121</v>
      </c>
      <c r="D573" s="621" t="s">
        <v>43</v>
      </c>
      <c r="E573" s="615">
        <v>14000</v>
      </c>
      <c r="F573" s="615">
        <v>0</v>
      </c>
      <c r="G573" s="615">
        <f>F573/7.5345</f>
        <v>0</v>
      </c>
      <c r="H573" s="615">
        <v>7650</v>
      </c>
      <c r="I573" s="615">
        <v>0</v>
      </c>
      <c r="J573" s="615">
        <f>SUM(H573+I573)</f>
        <v>7650</v>
      </c>
      <c r="K573" s="622">
        <f>J573*7.5345</f>
        <v>57638.925000000003</v>
      </c>
      <c r="L573" s="650">
        <f t="shared" si="332"/>
        <v>100</v>
      </c>
    </row>
    <row r="574" spans="1:12" ht="13.8" x14ac:dyDescent="0.25">
      <c r="A574" s="674" t="s">
        <v>580</v>
      </c>
      <c r="B574" s="631"/>
      <c r="C574" s="632">
        <v>3121</v>
      </c>
      <c r="D574" s="621" t="s">
        <v>43</v>
      </c>
      <c r="E574" s="615">
        <v>14000</v>
      </c>
      <c r="F574" s="615">
        <v>0</v>
      </c>
      <c r="G574" s="615">
        <f>F574/7.5345</f>
        <v>0</v>
      </c>
      <c r="H574" s="615">
        <v>1350</v>
      </c>
      <c r="I574" s="615">
        <v>0</v>
      </c>
      <c r="J574" s="615">
        <f>SUM(H574+I574)</f>
        <v>1350</v>
      </c>
      <c r="K574" s="622">
        <f>J574*7.5345</f>
        <v>10171.575000000001</v>
      </c>
      <c r="L574" s="650">
        <f t="shared" si="332"/>
        <v>100</v>
      </c>
    </row>
    <row r="575" spans="1:12" ht="13.8" x14ac:dyDescent="0.25">
      <c r="A575" s="674" t="s">
        <v>580</v>
      </c>
      <c r="B575" s="631"/>
      <c r="C575" s="632">
        <v>313</v>
      </c>
      <c r="D575" s="621" t="s">
        <v>44</v>
      </c>
      <c r="E575" s="615">
        <v>68800</v>
      </c>
      <c r="F575" s="615">
        <f t="shared" ref="F575:K575" si="335">F576</f>
        <v>50000</v>
      </c>
      <c r="G575" s="615">
        <f t="shared" si="335"/>
        <v>6636.1404207313026</v>
      </c>
      <c r="H575" s="615">
        <f>SUM(H576+H577)</f>
        <v>20000</v>
      </c>
      <c r="I575" s="615">
        <f t="shared" ref="I575:J575" si="336">SUM(I576+I577)</f>
        <v>0</v>
      </c>
      <c r="J575" s="615">
        <f t="shared" si="336"/>
        <v>20000</v>
      </c>
      <c r="K575" s="622">
        <f t="shared" si="335"/>
        <v>128086.5</v>
      </c>
      <c r="L575" s="650">
        <f t="shared" si="332"/>
        <v>100</v>
      </c>
    </row>
    <row r="576" spans="1:12" ht="13.8" x14ac:dyDescent="0.25">
      <c r="A576" s="674" t="s">
        <v>580</v>
      </c>
      <c r="B576" s="631"/>
      <c r="C576" s="632">
        <v>3132</v>
      </c>
      <c r="D576" s="621" t="s">
        <v>185</v>
      </c>
      <c r="E576" s="615">
        <v>62000</v>
      </c>
      <c r="F576" s="615">
        <v>50000</v>
      </c>
      <c r="G576" s="615">
        <f>F576/7.5345</f>
        <v>6636.1404207313026</v>
      </c>
      <c r="H576" s="615">
        <v>17000</v>
      </c>
      <c r="I576" s="615">
        <v>0</v>
      </c>
      <c r="J576" s="615">
        <f>SUM(H576+I576)</f>
        <v>17000</v>
      </c>
      <c r="K576" s="622">
        <f>J576*7.5345</f>
        <v>128086.5</v>
      </c>
      <c r="L576" s="650">
        <f t="shared" si="332"/>
        <v>100</v>
      </c>
    </row>
    <row r="577" spans="1:12" ht="13.8" x14ac:dyDescent="0.25">
      <c r="A577" s="674" t="s">
        <v>580</v>
      </c>
      <c r="B577" s="631"/>
      <c r="C577" s="632">
        <v>3132</v>
      </c>
      <c r="D577" s="621" t="s">
        <v>185</v>
      </c>
      <c r="E577" s="615">
        <v>62000</v>
      </c>
      <c r="F577" s="615">
        <v>50000</v>
      </c>
      <c r="G577" s="615">
        <f>F577/7.5345</f>
        <v>6636.1404207313026</v>
      </c>
      <c r="H577" s="615">
        <v>3000</v>
      </c>
      <c r="I577" s="615">
        <v>0</v>
      </c>
      <c r="J577" s="615">
        <f>SUM(H577+I577)</f>
        <v>3000</v>
      </c>
      <c r="K577" s="622">
        <f>J577*7.5345</f>
        <v>22603.5</v>
      </c>
      <c r="L577" s="650">
        <f t="shared" si="332"/>
        <v>100</v>
      </c>
    </row>
    <row r="578" spans="1:12" ht="13.8" x14ac:dyDescent="0.25">
      <c r="A578" s="673" t="s">
        <v>580</v>
      </c>
      <c r="B578" s="626"/>
      <c r="C578" s="627">
        <v>32</v>
      </c>
      <c r="D578" s="628" t="s">
        <v>47</v>
      </c>
      <c r="E578" s="629">
        <v>41500</v>
      </c>
      <c r="F578" s="629">
        <f t="shared" ref="F578:K578" si="337">F579+F582</f>
        <v>12000</v>
      </c>
      <c r="G578" s="629">
        <f t="shared" si="337"/>
        <v>1592.6737009755125</v>
      </c>
      <c r="H578" s="629">
        <f t="shared" si="337"/>
        <v>9000</v>
      </c>
      <c r="I578" s="629">
        <f t="shared" si="337"/>
        <v>0</v>
      </c>
      <c r="J578" s="629">
        <f t="shared" si="337"/>
        <v>9000</v>
      </c>
      <c r="K578" s="630">
        <f t="shared" si="337"/>
        <v>57638.925000000003</v>
      </c>
      <c r="L578" s="735">
        <f t="shared" si="332"/>
        <v>100</v>
      </c>
    </row>
    <row r="579" spans="1:12" ht="13.8" x14ac:dyDescent="0.25">
      <c r="A579" s="674" t="s">
        <v>580</v>
      </c>
      <c r="B579" s="631"/>
      <c r="C579" s="632">
        <v>321</v>
      </c>
      <c r="D579" s="621" t="s">
        <v>48</v>
      </c>
      <c r="E579" s="615">
        <f>SUM(E580:E584)</f>
        <v>68000</v>
      </c>
      <c r="F579" s="615">
        <f t="shared" ref="F579:K579" si="338">SUM(F580)</f>
        <v>10000</v>
      </c>
      <c r="G579" s="615">
        <f t="shared" si="338"/>
        <v>1327.2280841462605</v>
      </c>
      <c r="H579" s="615">
        <f>SUM(H580+H581)</f>
        <v>3000</v>
      </c>
      <c r="I579" s="615">
        <f t="shared" ref="I579:J579" si="339">SUM(I580+I581)</f>
        <v>0</v>
      </c>
      <c r="J579" s="615">
        <f t="shared" si="339"/>
        <v>3000</v>
      </c>
      <c r="K579" s="622">
        <f t="shared" si="338"/>
        <v>19212.975000000002</v>
      </c>
      <c r="L579" s="650">
        <f t="shared" si="332"/>
        <v>100</v>
      </c>
    </row>
    <row r="580" spans="1:12" ht="13.8" x14ac:dyDescent="0.25">
      <c r="A580" s="674" t="s">
        <v>580</v>
      </c>
      <c r="B580" s="631"/>
      <c r="C580" s="632">
        <v>3214</v>
      </c>
      <c r="D580" s="621" t="s">
        <v>187</v>
      </c>
      <c r="E580" s="615">
        <v>18000</v>
      </c>
      <c r="F580" s="615">
        <v>10000</v>
      </c>
      <c r="G580" s="615">
        <f>F580/7.5345</f>
        <v>1327.2280841462605</v>
      </c>
      <c r="H580" s="615">
        <v>2550</v>
      </c>
      <c r="I580" s="615">
        <v>0</v>
      </c>
      <c r="J580" s="615">
        <f>SUM(H580+I580)</f>
        <v>2550</v>
      </c>
      <c r="K580" s="622">
        <f>J580*7.5345</f>
        <v>19212.975000000002</v>
      </c>
      <c r="L580" s="650">
        <f t="shared" si="332"/>
        <v>100</v>
      </c>
    </row>
    <row r="581" spans="1:12" ht="13.8" x14ac:dyDescent="0.25">
      <c r="A581" s="674" t="s">
        <v>580</v>
      </c>
      <c r="B581" s="631"/>
      <c r="C581" s="632">
        <v>3214</v>
      </c>
      <c r="D581" s="621" t="s">
        <v>187</v>
      </c>
      <c r="E581" s="615">
        <v>18000</v>
      </c>
      <c r="F581" s="615">
        <v>10000</v>
      </c>
      <c r="G581" s="615">
        <f>F581/7.5345</f>
        <v>1327.2280841462605</v>
      </c>
      <c r="H581" s="615">
        <v>450</v>
      </c>
      <c r="I581" s="615">
        <v>0</v>
      </c>
      <c r="J581" s="615">
        <f>SUM(H581+I581)</f>
        <v>450</v>
      </c>
      <c r="K581" s="622">
        <f>J581*7.5345</f>
        <v>3390.5250000000001</v>
      </c>
      <c r="L581" s="650">
        <f t="shared" si="332"/>
        <v>100</v>
      </c>
    </row>
    <row r="582" spans="1:12" ht="13.8" x14ac:dyDescent="0.25">
      <c r="A582" s="674" t="s">
        <v>580</v>
      </c>
      <c r="B582" s="631"/>
      <c r="C582" s="632">
        <v>322</v>
      </c>
      <c r="D582" s="621" t="s">
        <v>52</v>
      </c>
      <c r="E582" s="615">
        <f>SUM(E583:E584)</f>
        <v>16000</v>
      </c>
      <c r="F582" s="615">
        <f t="shared" ref="F582:K582" si="340">SUM(F583)</f>
        <v>2000</v>
      </c>
      <c r="G582" s="615">
        <f t="shared" si="340"/>
        <v>265.44561682925212</v>
      </c>
      <c r="H582" s="615">
        <f>SUM(H583:H584)</f>
        <v>6000</v>
      </c>
      <c r="I582" s="615">
        <f t="shared" ref="I582:J582" si="341">SUM(I583:I584)</f>
        <v>0</v>
      </c>
      <c r="J582" s="615">
        <f t="shared" si="341"/>
        <v>6000</v>
      </c>
      <c r="K582" s="622">
        <f t="shared" si="340"/>
        <v>38425.950000000004</v>
      </c>
      <c r="L582" s="650">
        <f t="shared" si="332"/>
        <v>100</v>
      </c>
    </row>
    <row r="583" spans="1:12" ht="13.8" x14ac:dyDescent="0.25">
      <c r="A583" s="716" t="s">
        <v>580</v>
      </c>
      <c r="B583" s="634"/>
      <c r="C583" s="635">
        <v>3221</v>
      </c>
      <c r="D583" s="636" t="s">
        <v>53</v>
      </c>
      <c r="E583" s="637">
        <v>16000</v>
      </c>
      <c r="F583" s="637">
        <v>2000</v>
      </c>
      <c r="G583" s="637">
        <f>F583/7.5345</f>
        <v>265.44561682925212</v>
      </c>
      <c r="H583" s="637">
        <v>5100</v>
      </c>
      <c r="I583" s="637">
        <v>0</v>
      </c>
      <c r="J583" s="637">
        <f>SUM(H583+I583)</f>
        <v>5100</v>
      </c>
      <c r="K583" s="638">
        <f>J583*7.5345</f>
        <v>38425.950000000004</v>
      </c>
      <c r="L583" s="650">
        <f t="shared" si="332"/>
        <v>100</v>
      </c>
    </row>
    <row r="584" spans="1:12" ht="14.4" thickBot="1" x14ac:dyDescent="0.3">
      <c r="A584" s="675" t="s">
        <v>580</v>
      </c>
      <c r="B584" s="639"/>
      <c r="C584" s="640">
        <v>3221</v>
      </c>
      <c r="D584" s="641" t="s">
        <v>53</v>
      </c>
      <c r="E584" s="642"/>
      <c r="F584" s="642"/>
      <c r="G584" s="642"/>
      <c r="H584" s="388">
        <v>900</v>
      </c>
      <c r="I584" s="388">
        <v>0</v>
      </c>
      <c r="J584" s="642">
        <f>SUM(H584+I584)</f>
        <v>900</v>
      </c>
      <c r="K584" s="643"/>
      <c r="L584" s="650">
        <f t="shared" si="332"/>
        <v>100</v>
      </c>
    </row>
    <row r="585" spans="1:12" ht="14.4" thickTop="1" x14ac:dyDescent="0.25">
      <c r="A585" s="652"/>
      <c r="B585" s="672"/>
      <c r="C585" s="654"/>
      <c r="D585" s="665" t="s">
        <v>178</v>
      </c>
      <c r="E585" s="705"/>
      <c r="F585" s="645"/>
      <c r="G585" s="645"/>
      <c r="H585" s="617"/>
      <c r="I585" s="617"/>
      <c r="J585" s="617"/>
      <c r="K585" s="645"/>
      <c r="L585" s="846">
        <f>AVERAGE(J587/H587*100)</f>
        <v>100</v>
      </c>
    </row>
    <row r="586" spans="1:12" ht="13.8" x14ac:dyDescent="0.25">
      <c r="A586" s="652"/>
      <c r="B586" s="672"/>
      <c r="C586" s="654"/>
      <c r="D586" s="665" t="s">
        <v>530</v>
      </c>
      <c r="E586" s="706"/>
      <c r="F586" s="617"/>
      <c r="G586" s="617"/>
      <c r="H586" s="617"/>
      <c r="I586" s="617"/>
      <c r="J586" s="617"/>
      <c r="K586" s="645"/>
      <c r="L586" s="847"/>
    </row>
    <row r="587" spans="1:12" ht="15.6" x14ac:dyDescent="0.3">
      <c r="A587" s="707"/>
      <c r="B587" s="717"/>
      <c r="C587" s="708"/>
      <c r="D587" s="709" t="s">
        <v>593</v>
      </c>
      <c r="E587" s="710" t="e">
        <f>SUM(#REF!+E617)</f>
        <v>#REF!</v>
      </c>
      <c r="F587" s="602">
        <f t="shared" ref="F587:K587" si="342">SUM(F588)</f>
        <v>1000</v>
      </c>
      <c r="G587" s="602">
        <f t="shared" si="342"/>
        <v>132.72280841462606</v>
      </c>
      <c r="H587" s="602">
        <f t="shared" si="342"/>
        <v>14000</v>
      </c>
      <c r="I587" s="602">
        <f t="shared" si="342"/>
        <v>0</v>
      </c>
      <c r="J587" s="602">
        <f t="shared" si="342"/>
        <v>14000</v>
      </c>
      <c r="K587" s="660">
        <f t="shared" si="342"/>
        <v>30514.725000000002</v>
      </c>
      <c r="L587" s="848"/>
    </row>
    <row r="588" spans="1:12" ht="13.8" x14ac:dyDescent="0.25">
      <c r="A588" s="673" t="s">
        <v>581</v>
      </c>
      <c r="B588" s="626"/>
      <c r="C588" s="627">
        <v>32</v>
      </c>
      <c r="D588" s="628" t="s">
        <v>47</v>
      </c>
      <c r="E588" s="629">
        <v>41500</v>
      </c>
      <c r="F588" s="629">
        <f t="shared" ref="F588:K588" si="343">F589+F594</f>
        <v>1000</v>
      </c>
      <c r="G588" s="629">
        <f t="shared" si="343"/>
        <v>132.72280841462606</v>
      </c>
      <c r="H588" s="629">
        <f t="shared" si="343"/>
        <v>14000</v>
      </c>
      <c r="I588" s="629">
        <f t="shared" si="343"/>
        <v>0</v>
      </c>
      <c r="J588" s="629">
        <f t="shared" si="343"/>
        <v>14000</v>
      </c>
      <c r="K588" s="630">
        <f t="shared" si="343"/>
        <v>30514.725000000002</v>
      </c>
      <c r="L588" s="735">
        <f>AVERAGE(J588/H588*100)</f>
        <v>100</v>
      </c>
    </row>
    <row r="589" spans="1:12" ht="13.8" x14ac:dyDescent="0.25">
      <c r="A589" s="674" t="s">
        <v>581</v>
      </c>
      <c r="B589" s="631"/>
      <c r="C589" s="632">
        <v>323</v>
      </c>
      <c r="D589" s="621" t="s">
        <v>56</v>
      </c>
      <c r="E589" s="615" t="e">
        <f>SUM(E590:E619)</f>
        <v>#REF!</v>
      </c>
      <c r="F589" s="615">
        <f t="shared" ref="F589:K589" si="344">SUM(F590)</f>
        <v>1000</v>
      </c>
      <c r="G589" s="615">
        <f t="shared" si="344"/>
        <v>132.72280841462606</v>
      </c>
      <c r="H589" s="615">
        <f>SUM(H590+H591+H592+H593)</f>
        <v>12500</v>
      </c>
      <c r="I589" s="615">
        <f t="shared" ref="I589:J589" si="345">SUM(I590+I591+I592+I593)</f>
        <v>0</v>
      </c>
      <c r="J589" s="615">
        <f t="shared" si="345"/>
        <v>12500</v>
      </c>
      <c r="K589" s="622">
        <f t="shared" si="344"/>
        <v>19212.975000000002</v>
      </c>
      <c r="L589" s="650">
        <f t="shared" ref="L589:L595" si="346">AVERAGE(J589/H589*100)</f>
        <v>100</v>
      </c>
    </row>
    <row r="590" spans="1:12" ht="13.8" x14ac:dyDescent="0.25">
      <c r="A590" s="674" t="s">
        <v>581</v>
      </c>
      <c r="B590" s="631"/>
      <c r="C590" s="632">
        <v>3233</v>
      </c>
      <c r="D590" s="621" t="s">
        <v>59</v>
      </c>
      <c r="E590" s="615">
        <v>25000</v>
      </c>
      <c r="F590" s="615">
        <v>1000</v>
      </c>
      <c r="G590" s="615">
        <f>F590/7.5345</f>
        <v>132.72280841462606</v>
      </c>
      <c r="H590" s="615">
        <v>2550</v>
      </c>
      <c r="I590" s="615">
        <v>0</v>
      </c>
      <c r="J590" s="615">
        <f>SUM(H590+I590)</f>
        <v>2550</v>
      </c>
      <c r="K590" s="622">
        <f>J590*7.5345</f>
        <v>19212.975000000002</v>
      </c>
      <c r="L590" s="650">
        <f t="shared" si="346"/>
        <v>100</v>
      </c>
    </row>
    <row r="591" spans="1:12" ht="13.8" x14ac:dyDescent="0.25">
      <c r="A591" s="674" t="s">
        <v>581</v>
      </c>
      <c r="B591" s="631"/>
      <c r="C591" s="632">
        <v>3233</v>
      </c>
      <c r="D591" s="621" t="s">
        <v>59</v>
      </c>
      <c r="E591" s="615">
        <v>25000</v>
      </c>
      <c r="F591" s="615">
        <v>1000</v>
      </c>
      <c r="G591" s="615">
        <f>F591/7.5345</f>
        <v>132.72280841462606</v>
      </c>
      <c r="H591" s="615">
        <v>450</v>
      </c>
      <c r="I591" s="615">
        <v>0</v>
      </c>
      <c r="J591" s="615">
        <f t="shared" ref="J591:J593" si="347">SUM(H591+I591)</f>
        <v>450</v>
      </c>
      <c r="K591" s="622">
        <f>J591*7.5345</f>
        <v>3390.5250000000001</v>
      </c>
      <c r="L591" s="650">
        <f t="shared" si="346"/>
        <v>100</v>
      </c>
    </row>
    <row r="592" spans="1:12" ht="13.8" x14ac:dyDescent="0.25">
      <c r="A592" s="623" t="s">
        <v>581</v>
      </c>
      <c r="B592" s="631"/>
      <c r="C592" s="632">
        <v>3237</v>
      </c>
      <c r="D592" s="621" t="s">
        <v>62</v>
      </c>
      <c r="E592" s="617"/>
      <c r="F592" s="617"/>
      <c r="G592" s="617"/>
      <c r="H592" s="615">
        <v>8075</v>
      </c>
      <c r="I592" s="615">
        <v>0</v>
      </c>
      <c r="J592" s="615">
        <f t="shared" si="347"/>
        <v>8075</v>
      </c>
      <c r="K592" s="645"/>
      <c r="L592" s="650">
        <f t="shared" si="346"/>
        <v>100</v>
      </c>
    </row>
    <row r="593" spans="1:12" ht="13.8" x14ac:dyDescent="0.25">
      <c r="A593" s="623" t="s">
        <v>581</v>
      </c>
      <c r="B593" s="631"/>
      <c r="C593" s="632">
        <v>3237</v>
      </c>
      <c r="D593" s="621" t="s">
        <v>62</v>
      </c>
      <c r="E593" s="617"/>
      <c r="F593" s="617"/>
      <c r="G593" s="617"/>
      <c r="H593" s="617">
        <v>1425</v>
      </c>
      <c r="I593" s="617">
        <v>0</v>
      </c>
      <c r="J593" s="615">
        <f t="shared" si="347"/>
        <v>1425</v>
      </c>
      <c r="K593" s="645"/>
      <c r="L593" s="650">
        <f t="shared" si="346"/>
        <v>100</v>
      </c>
    </row>
    <row r="594" spans="1:12" ht="13.8" x14ac:dyDescent="0.25">
      <c r="A594" s="674" t="s">
        <v>581</v>
      </c>
      <c r="B594" s="631"/>
      <c r="C594" s="632">
        <v>329</v>
      </c>
      <c r="D594" s="621" t="s">
        <v>65</v>
      </c>
      <c r="E594" s="615">
        <f t="shared" ref="E594:K594" si="348">SUM(E595:E595)</f>
        <v>10000</v>
      </c>
      <c r="F594" s="615">
        <f t="shared" si="348"/>
        <v>0</v>
      </c>
      <c r="G594" s="615">
        <f t="shared" si="348"/>
        <v>0</v>
      </c>
      <c r="H594" s="615">
        <f>SUM(H595)</f>
        <v>1500</v>
      </c>
      <c r="I594" s="615">
        <f t="shared" ref="I594:J594" si="349">SUM(I595)</f>
        <v>0</v>
      </c>
      <c r="J594" s="615">
        <f t="shared" si="349"/>
        <v>1500</v>
      </c>
      <c r="K594" s="622">
        <f t="shared" si="348"/>
        <v>11301.75</v>
      </c>
      <c r="L594" s="650">
        <f t="shared" si="346"/>
        <v>100</v>
      </c>
    </row>
    <row r="595" spans="1:12" ht="14.4" thickBot="1" x14ac:dyDescent="0.3">
      <c r="A595" s="674" t="s">
        <v>581</v>
      </c>
      <c r="B595" s="631"/>
      <c r="C595" s="632">
        <v>3293</v>
      </c>
      <c r="D595" s="621" t="s">
        <v>68</v>
      </c>
      <c r="E595" s="615">
        <v>10000</v>
      </c>
      <c r="F595" s="615">
        <v>0</v>
      </c>
      <c r="G595" s="615">
        <f>F595/7.5345</f>
        <v>0</v>
      </c>
      <c r="H595" s="615">
        <v>1500</v>
      </c>
      <c r="I595" s="615">
        <v>0</v>
      </c>
      <c r="J595" s="615">
        <f>SUM(H595+I595)</f>
        <v>1500</v>
      </c>
      <c r="K595" s="622">
        <f>J595*7.5345</f>
        <v>11301.75</v>
      </c>
      <c r="L595" s="650">
        <f t="shared" si="346"/>
        <v>100</v>
      </c>
    </row>
    <row r="596" spans="1:12" ht="18" thickBot="1" x14ac:dyDescent="0.35">
      <c r="A596" s="873" t="s">
        <v>637</v>
      </c>
      <c r="B596" s="874"/>
      <c r="C596" s="874"/>
      <c r="D596" s="875"/>
      <c r="E596" s="415" t="e">
        <f>SUM(E599+#REF!+E675+E685+E691+E697)</f>
        <v>#REF!</v>
      </c>
      <c r="F596" s="415">
        <f t="shared" ref="F596:H596" si="350">SUM(F599)</f>
        <v>78300</v>
      </c>
      <c r="G596" s="544">
        <f t="shared" si="350"/>
        <v>10392.195898865219</v>
      </c>
      <c r="H596" s="544">
        <f t="shared" si="350"/>
        <v>13000</v>
      </c>
      <c r="I596" s="544">
        <f t="shared" ref="I596:J596" si="351">SUM(I599)</f>
        <v>0</v>
      </c>
      <c r="J596" s="544">
        <f t="shared" si="351"/>
        <v>13000</v>
      </c>
      <c r="K596" s="549">
        <f t="shared" ref="K596" si="352">SUM(K599)</f>
        <v>78358.8</v>
      </c>
      <c r="L596" s="551">
        <f>AVERAGE(J596/H596*100)</f>
        <v>100</v>
      </c>
    </row>
    <row r="597" spans="1:12" ht="13.8" x14ac:dyDescent="0.25">
      <c r="A597" s="401"/>
      <c r="B597" s="40"/>
      <c r="C597" s="40"/>
      <c r="D597" s="395" t="s">
        <v>178</v>
      </c>
      <c r="E597" s="385"/>
      <c r="F597" s="372"/>
      <c r="G597" s="372"/>
      <c r="H597" s="372"/>
      <c r="I597" s="372"/>
      <c r="J597" s="372"/>
      <c r="K597" s="529"/>
      <c r="L597" s="861">
        <f>AVERAGE(J599/H599*100)</f>
        <v>100</v>
      </c>
    </row>
    <row r="598" spans="1:12" ht="13.8" x14ac:dyDescent="0.25">
      <c r="A598" s="401"/>
      <c r="B598" s="40"/>
      <c r="C598" s="40"/>
      <c r="D598" s="395" t="s">
        <v>673</v>
      </c>
      <c r="E598" s="379"/>
      <c r="F598" s="372"/>
      <c r="G598" s="372"/>
      <c r="H598" s="372"/>
      <c r="I598" s="372"/>
      <c r="J598" s="372"/>
      <c r="K598" s="529"/>
      <c r="L598" s="850"/>
    </row>
    <row r="599" spans="1:12" ht="15.6" x14ac:dyDescent="0.3">
      <c r="A599" s="420"/>
      <c r="B599" s="421"/>
      <c r="C599" s="421"/>
      <c r="D599" s="422" t="s">
        <v>489</v>
      </c>
      <c r="E599" s="423">
        <f t="shared" ref="E599:K599" si="353">SUM(E600+E609)</f>
        <v>524300</v>
      </c>
      <c r="F599" s="424">
        <f t="shared" si="353"/>
        <v>78300</v>
      </c>
      <c r="G599" s="424">
        <f t="shared" si="353"/>
        <v>10392.195898865219</v>
      </c>
      <c r="H599" s="424">
        <f t="shared" si="353"/>
        <v>13000</v>
      </c>
      <c r="I599" s="424">
        <f t="shared" si="353"/>
        <v>0</v>
      </c>
      <c r="J599" s="424">
        <f t="shared" si="353"/>
        <v>13000</v>
      </c>
      <c r="K599" s="530">
        <f t="shared" si="353"/>
        <v>78358.8</v>
      </c>
      <c r="L599" s="851"/>
    </row>
    <row r="600" spans="1:12" ht="13.8" x14ac:dyDescent="0.25">
      <c r="A600" s="358" t="s">
        <v>582</v>
      </c>
      <c r="B600" s="445"/>
      <c r="C600" s="391">
        <v>31</v>
      </c>
      <c r="D600" s="369" t="s">
        <v>41</v>
      </c>
      <c r="E600" s="381">
        <f>SUM(E601+E604+E606)</f>
        <v>482800</v>
      </c>
      <c r="F600" s="381">
        <f>SUM(F601+F606)</f>
        <v>73300</v>
      </c>
      <c r="G600" s="381">
        <f>SUM(G601+G606)</f>
        <v>9728.5818567920887</v>
      </c>
      <c r="H600" s="381">
        <f>SUM(H601+H606)</f>
        <v>12000</v>
      </c>
      <c r="I600" s="381">
        <f t="shared" ref="I600:J600" si="354">SUM(I601+I606)</f>
        <v>0</v>
      </c>
      <c r="J600" s="381">
        <f t="shared" si="354"/>
        <v>12000</v>
      </c>
      <c r="K600" s="531">
        <f>SUM(K601+K606)</f>
        <v>72331.199999999997</v>
      </c>
      <c r="L600" s="734">
        <f>AVERAGE(J600/H600*100)</f>
        <v>100</v>
      </c>
    </row>
    <row r="601" spans="1:12" ht="13.8" x14ac:dyDescent="0.25">
      <c r="A601" s="355" t="s">
        <v>582</v>
      </c>
      <c r="B601" s="446"/>
      <c r="C601" s="367">
        <v>311</v>
      </c>
      <c r="D601" s="368" t="s">
        <v>183</v>
      </c>
      <c r="E601" s="363">
        <v>400000</v>
      </c>
      <c r="F601" s="363">
        <f t="shared" ref="F601:K601" si="355">F602</f>
        <v>63300</v>
      </c>
      <c r="G601" s="363">
        <f t="shared" si="355"/>
        <v>8401.3537726458289</v>
      </c>
      <c r="H601" s="363">
        <f>SUM(H602+H603)</f>
        <v>10000</v>
      </c>
      <c r="I601" s="363">
        <f t="shared" ref="I601:J601" si="356">SUM(I602+I603)</f>
        <v>0</v>
      </c>
      <c r="J601" s="363">
        <f t="shared" si="356"/>
        <v>10000</v>
      </c>
      <c r="K601" s="532">
        <f t="shared" si="355"/>
        <v>60276</v>
      </c>
      <c r="L601" s="384">
        <f t="shared" ref="L601:L614" si="357">AVERAGE(J601/H601*100)</f>
        <v>100</v>
      </c>
    </row>
    <row r="602" spans="1:12" ht="13.8" x14ac:dyDescent="0.25">
      <c r="A602" s="355" t="s">
        <v>582</v>
      </c>
      <c r="B602" s="446"/>
      <c r="C602" s="367">
        <v>3111</v>
      </c>
      <c r="D602" s="368" t="s">
        <v>184</v>
      </c>
      <c r="E602" s="363">
        <v>400000</v>
      </c>
      <c r="F602" s="363">
        <v>63300</v>
      </c>
      <c r="G602" s="363">
        <f>F602/7.5345</f>
        <v>8401.3537726458289</v>
      </c>
      <c r="H602" s="363">
        <v>8000</v>
      </c>
      <c r="I602" s="363">
        <v>0</v>
      </c>
      <c r="J602" s="363">
        <f>SUM(H602+I602)</f>
        <v>8000</v>
      </c>
      <c r="K602" s="532">
        <f>J602*7.5345</f>
        <v>60276</v>
      </c>
      <c r="L602" s="384">
        <f t="shared" si="357"/>
        <v>100</v>
      </c>
    </row>
    <row r="603" spans="1:12" ht="13.8" x14ac:dyDescent="0.25">
      <c r="A603" s="355" t="s">
        <v>582</v>
      </c>
      <c r="B603" s="446"/>
      <c r="C603" s="367">
        <v>3111</v>
      </c>
      <c r="D603" s="368" t="s">
        <v>184</v>
      </c>
      <c r="E603" s="363">
        <v>400000</v>
      </c>
      <c r="F603" s="363">
        <v>63300</v>
      </c>
      <c r="G603" s="363">
        <f>F603/7.5345</f>
        <v>8401.3537726458289</v>
      </c>
      <c r="H603" s="363">
        <v>2000</v>
      </c>
      <c r="I603" s="363">
        <v>0</v>
      </c>
      <c r="J603" s="363">
        <f>SUM(H603+I603)</f>
        <v>2000</v>
      </c>
      <c r="K603" s="532">
        <f>J603*7.5345</f>
        <v>15069</v>
      </c>
      <c r="L603" s="384">
        <f t="shared" si="357"/>
        <v>100</v>
      </c>
    </row>
    <row r="604" spans="1:12" ht="13.8" x14ac:dyDescent="0.25">
      <c r="A604" s="355" t="s">
        <v>490</v>
      </c>
      <c r="B604" s="446"/>
      <c r="C604" s="367">
        <v>312</v>
      </c>
      <c r="D604" s="368" t="s">
        <v>43</v>
      </c>
      <c r="E604" s="363">
        <v>14000</v>
      </c>
      <c r="F604" s="363">
        <f t="shared" ref="F604:K604" si="358">F605</f>
        <v>0</v>
      </c>
      <c r="G604" s="363">
        <f t="shared" si="358"/>
        <v>0</v>
      </c>
      <c r="H604" s="363">
        <f t="shared" si="358"/>
        <v>0</v>
      </c>
      <c r="I604" s="363">
        <f t="shared" si="358"/>
        <v>0</v>
      </c>
      <c r="J604" s="363">
        <f t="shared" si="358"/>
        <v>0</v>
      </c>
      <c r="K604" s="532">
        <f t="shared" si="358"/>
        <v>0</v>
      </c>
      <c r="L604" s="384" t="e">
        <f t="shared" si="357"/>
        <v>#DIV/0!</v>
      </c>
    </row>
    <row r="605" spans="1:12" ht="13.8" x14ac:dyDescent="0.25">
      <c r="A605" s="355" t="s">
        <v>490</v>
      </c>
      <c r="B605" s="446"/>
      <c r="C605" s="367">
        <v>3121</v>
      </c>
      <c r="D605" s="368" t="s">
        <v>43</v>
      </c>
      <c r="E605" s="363">
        <v>14000</v>
      </c>
      <c r="F605" s="363">
        <v>0</v>
      </c>
      <c r="G605" s="363">
        <v>0</v>
      </c>
      <c r="H605" s="363">
        <v>0</v>
      </c>
      <c r="I605" s="363">
        <v>0</v>
      </c>
      <c r="J605" s="363">
        <f>SUM(H605+I605)</f>
        <v>0</v>
      </c>
      <c r="K605" s="532">
        <v>0</v>
      </c>
      <c r="L605" s="384" t="e">
        <f t="shared" si="357"/>
        <v>#DIV/0!</v>
      </c>
    </row>
    <row r="606" spans="1:12" ht="13.8" x14ac:dyDescent="0.25">
      <c r="A606" s="355" t="s">
        <v>582</v>
      </c>
      <c r="B606" s="446"/>
      <c r="C606" s="367">
        <v>313</v>
      </c>
      <c r="D606" s="368" t="s">
        <v>44</v>
      </c>
      <c r="E606" s="363">
        <v>68800</v>
      </c>
      <c r="F606" s="363">
        <f t="shared" ref="F606:K606" si="359">F607</f>
        <v>10000</v>
      </c>
      <c r="G606" s="363">
        <f t="shared" si="359"/>
        <v>1327.2280841462605</v>
      </c>
      <c r="H606" s="363">
        <f>SUM(H607+H608)</f>
        <v>2000</v>
      </c>
      <c r="I606" s="363">
        <f t="shared" ref="I606:J606" si="360">SUM(I607+I608)</f>
        <v>0</v>
      </c>
      <c r="J606" s="363">
        <f t="shared" si="360"/>
        <v>2000</v>
      </c>
      <c r="K606" s="532">
        <f t="shared" si="359"/>
        <v>12055.2</v>
      </c>
      <c r="L606" s="384">
        <f t="shared" si="357"/>
        <v>100</v>
      </c>
    </row>
    <row r="607" spans="1:12" ht="13.8" x14ac:dyDescent="0.25">
      <c r="A607" s="355" t="s">
        <v>582</v>
      </c>
      <c r="B607" s="446"/>
      <c r="C607" s="367">
        <v>3132</v>
      </c>
      <c r="D607" s="368" t="s">
        <v>185</v>
      </c>
      <c r="E607" s="363">
        <v>62000</v>
      </c>
      <c r="F607" s="363">
        <v>10000</v>
      </c>
      <c r="G607" s="363">
        <f>F607/7.5345</f>
        <v>1327.2280841462605</v>
      </c>
      <c r="H607" s="363">
        <v>1600</v>
      </c>
      <c r="I607" s="363">
        <v>0</v>
      </c>
      <c r="J607" s="363">
        <f>SUM(H607+I607)</f>
        <v>1600</v>
      </c>
      <c r="K607" s="532">
        <f>J607*7.5345</f>
        <v>12055.2</v>
      </c>
      <c r="L607" s="384">
        <f t="shared" si="357"/>
        <v>100</v>
      </c>
    </row>
    <row r="608" spans="1:12" ht="13.8" x14ac:dyDescent="0.25">
      <c r="A608" s="355" t="s">
        <v>582</v>
      </c>
      <c r="B608" s="446"/>
      <c r="C608" s="367">
        <v>3132</v>
      </c>
      <c r="D608" s="368" t="s">
        <v>185</v>
      </c>
      <c r="E608" s="363">
        <v>62000</v>
      </c>
      <c r="F608" s="363">
        <v>10000</v>
      </c>
      <c r="G608" s="363">
        <f>F608/7.5345</f>
        <v>1327.2280841462605</v>
      </c>
      <c r="H608" s="363">
        <v>400</v>
      </c>
      <c r="I608" s="363">
        <v>0</v>
      </c>
      <c r="J608" s="363">
        <f>SUM(H608+I608)</f>
        <v>400</v>
      </c>
      <c r="K608" s="532">
        <f>J608*7.5345</f>
        <v>3013.8</v>
      </c>
      <c r="L608" s="384">
        <f t="shared" si="357"/>
        <v>100</v>
      </c>
    </row>
    <row r="609" spans="1:12" ht="13.8" x14ac:dyDescent="0.25">
      <c r="A609" s="358" t="s">
        <v>582</v>
      </c>
      <c r="B609" s="447"/>
      <c r="C609" s="354">
        <v>32</v>
      </c>
      <c r="D609" s="365" t="s">
        <v>47</v>
      </c>
      <c r="E609" s="362">
        <v>41500</v>
      </c>
      <c r="F609" s="362">
        <f t="shared" ref="F609:K609" si="361">F610</f>
        <v>5000</v>
      </c>
      <c r="G609" s="362">
        <f t="shared" si="361"/>
        <v>663.61404207313024</v>
      </c>
      <c r="H609" s="362">
        <f t="shared" si="361"/>
        <v>1000</v>
      </c>
      <c r="I609" s="362">
        <f t="shared" si="361"/>
        <v>0</v>
      </c>
      <c r="J609" s="362">
        <f t="shared" si="361"/>
        <v>1000</v>
      </c>
      <c r="K609" s="533">
        <f t="shared" si="361"/>
        <v>6027.6</v>
      </c>
      <c r="L609" s="734">
        <f t="shared" si="357"/>
        <v>100</v>
      </c>
    </row>
    <row r="610" spans="1:12" ht="13.8" x14ac:dyDescent="0.25">
      <c r="A610" s="355" t="s">
        <v>582</v>
      </c>
      <c r="B610" s="446"/>
      <c r="C610" s="367">
        <v>321</v>
      </c>
      <c r="D610" s="368" t="s">
        <v>48</v>
      </c>
      <c r="E610" s="363" t="e">
        <f>SUM(E611:E618)</f>
        <v>#REF!</v>
      </c>
      <c r="F610" s="363">
        <f t="shared" ref="F610:K610" si="362">SUM(F611)</f>
        <v>5000</v>
      </c>
      <c r="G610" s="363">
        <f t="shared" si="362"/>
        <v>663.61404207313024</v>
      </c>
      <c r="H610" s="363">
        <f>SUM(H611+H612)</f>
        <v>1000</v>
      </c>
      <c r="I610" s="363">
        <f t="shared" ref="I610:J610" si="363">SUM(I611+I612)</f>
        <v>0</v>
      </c>
      <c r="J610" s="363">
        <f t="shared" si="363"/>
        <v>1000</v>
      </c>
      <c r="K610" s="532">
        <f t="shared" si="362"/>
        <v>6027.6</v>
      </c>
      <c r="L610" s="384">
        <f t="shared" si="357"/>
        <v>100</v>
      </c>
    </row>
    <row r="611" spans="1:12" ht="13.8" x14ac:dyDescent="0.25">
      <c r="A611" s="355" t="s">
        <v>582</v>
      </c>
      <c r="B611" s="446"/>
      <c r="C611" s="367">
        <v>3212</v>
      </c>
      <c r="D611" s="368" t="s">
        <v>491</v>
      </c>
      <c r="E611" s="363">
        <v>18000</v>
      </c>
      <c r="F611" s="363">
        <v>5000</v>
      </c>
      <c r="G611" s="363">
        <f>F611/7.5345</f>
        <v>663.61404207313024</v>
      </c>
      <c r="H611" s="363">
        <v>800</v>
      </c>
      <c r="I611" s="363">
        <v>0</v>
      </c>
      <c r="J611" s="363">
        <f>SUM(H611+I611)</f>
        <v>800</v>
      </c>
      <c r="K611" s="532">
        <f>J611*7.5345</f>
        <v>6027.6</v>
      </c>
      <c r="L611" s="384">
        <f t="shared" si="357"/>
        <v>100</v>
      </c>
    </row>
    <row r="612" spans="1:12" ht="13.8" x14ac:dyDescent="0.25">
      <c r="A612" s="355" t="s">
        <v>582</v>
      </c>
      <c r="B612" s="446"/>
      <c r="C612" s="367">
        <v>3212</v>
      </c>
      <c r="D612" s="368" t="s">
        <v>491</v>
      </c>
      <c r="E612" s="363">
        <v>18000</v>
      </c>
      <c r="F612" s="363">
        <v>5000</v>
      </c>
      <c r="G612" s="363">
        <f>F612/7.5345</f>
        <v>663.61404207313024</v>
      </c>
      <c r="H612" s="363">
        <v>200</v>
      </c>
      <c r="I612" s="363">
        <v>0</v>
      </c>
      <c r="J612" s="363">
        <f>SUM(H612+I612)</f>
        <v>200</v>
      </c>
      <c r="K612" s="532">
        <f>J612*7.5345</f>
        <v>1506.9</v>
      </c>
      <c r="L612" s="384">
        <f t="shared" si="357"/>
        <v>100</v>
      </c>
    </row>
    <row r="613" spans="1:12" ht="13.8" x14ac:dyDescent="0.25">
      <c r="A613" s="355" t="s">
        <v>490</v>
      </c>
      <c r="B613" s="446"/>
      <c r="C613" s="367">
        <v>322</v>
      </c>
      <c r="D613" s="368" t="s">
        <v>52</v>
      </c>
      <c r="E613" s="363" t="e">
        <f>SUM(E614:E618)</f>
        <v>#REF!</v>
      </c>
      <c r="F613" s="363">
        <f t="shared" ref="F613:K613" si="364">SUM(F614)</f>
        <v>0</v>
      </c>
      <c r="G613" s="363">
        <f t="shared" si="364"/>
        <v>0</v>
      </c>
      <c r="H613" s="363">
        <f t="shared" si="364"/>
        <v>0</v>
      </c>
      <c r="I613" s="363">
        <f t="shared" si="364"/>
        <v>0</v>
      </c>
      <c r="J613" s="363">
        <f t="shared" si="364"/>
        <v>0</v>
      </c>
      <c r="K613" s="532">
        <f t="shared" si="364"/>
        <v>0</v>
      </c>
      <c r="L613" s="384" t="e">
        <f t="shared" si="357"/>
        <v>#DIV/0!</v>
      </c>
    </row>
    <row r="614" spans="1:12" ht="14.4" thickBot="1" x14ac:dyDescent="0.3">
      <c r="A614" s="455" t="s">
        <v>490</v>
      </c>
      <c r="B614" s="453"/>
      <c r="C614" s="399">
        <v>3221</v>
      </c>
      <c r="D614" s="370" t="s">
        <v>53</v>
      </c>
      <c r="E614" s="361">
        <v>16000</v>
      </c>
      <c r="F614" s="361">
        <v>0</v>
      </c>
      <c r="G614" s="361">
        <v>0</v>
      </c>
      <c r="H614" s="361">
        <v>0</v>
      </c>
      <c r="I614" s="361">
        <v>0</v>
      </c>
      <c r="J614" s="361">
        <f>SUM(H614+I614)</f>
        <v>0</v>
      </c>
      <c r="K614" s="535">
        <v>0</v>
      </c>
      <c r="L614" s="384" t="e">
        <f t="shared" si="357"/>
        <v>#DIV/0!</v>
      </c>
    </row>
    <row r="615" spans="1:12" ht="18" thickBot="1" x14ac:dyDescent="0.3">
      <c r="A615" s="862" t="s">
        <v>110</v>
      </c>
      <c r="B615" s="863"/>
      <c r="C615" s="863"/>
      <c r="D615" s="864"/>
      <c r="E615" s="400" t="e">
        <f>SUM(E8+#REF!+#REF!+#REF!+#REF!+#REF!+#REF!+#REF!+#REF!+#REF!)</f>
        <v>#REF!</v>
      </c>
      <c r="F615" s="400" t="e">
        <f>SUM(F9+F85+F94+F108+F121+F128+F136+F150+F185+F192+F205+#REF!+F238+F245+F262+F271+F284+F297+F385+F437+#REF!+#REF!+F564+F596)</f>
        <v>#REF!</v>
      </c>
      <c r="G615" s="400" t="e">
        <f>SUM(G9+G85+G94+G108+G121+G128+G136+G150+G185+G192+G205+#REF!+G238+G245+G262+G271+G284+G297+G385+G437+#REF!+#REF!+G564+G596)</f>
        <v>#REF!</v>
      </c>
      <c r="H615" s="400">
        <f>SUM(H9+H85+H97+H108+H121+H128+H136+H143+H150+H185+H192+H205+H238+H245+H262+H271+H284+H297+H385+H437+H549+H564+H596)</f>
        <v>3638360</v>
      </c>
      <c r="I615" s="400">
        <f t="shared" ref="I615:J615" si="365">SUM(I9+I85+I97+I108+I121+I128+I136+I143+I150+I185+I192+I205+I238+I245+I262+I271+I284+I297+I385+I437+I549+I564+I596)</f>
        <v>46800</v>
      </c>
      <c r="J615" s="400">
        <f t="shared" si="365"/>
        <v>3685160</v>
      </c>
      <c r="K615" s="536" t="e">
        <f>SUM(K9+K85+K94+K108+K121+K128+K136+K150+K185+K192+K205+#REF!+K238+K245+K262+K271+K284+K297+K385+K437+#REF!+#REF!+K564+K596)</f>
        <v>#REF!</v>
      </c>
      <c r="L615" s="737">
        <f>AVERAGE(J615/H615*100)</f>
        <v>101.28629382469026</v>
      </c>
    </row>
    <row r="617" spans="1:12" x14ac:dyDescent="0.25">
      <c r="B617" s="567"/>
    </row>
  </sheetData>
  <mergeCells count="87">
    <mergeCell ref="L543:L545"/>
    <mergeCell ref="L199:L201"/>
    <mergeCell ref="L252:L254"/>
    <mergeCell ref="A262:D262"/>
    <mergeCell ref="A245:D245"/>
    <mergeCell ref="L316:L318"/>
    <mergeCell ref="L278:L280"/>
    <mergeCell ref="A297:D297"/>
    <mergeCell ref="A385:D385"/>
    <mergeCell ref="L285:L287"/>
    <mergeCell ref="L291:L293"/>
    <mergeCell ref="L298:L300"/>
    <mergeCell ref="L306:L308"/>
    <mergeCell ref="L322:L324"/>
    <mergeCell ref="L328:L330"/>
    <mergeCell ref="A437:D437"/>
    <mergeCell ref="A143:D143"/>
    <mergeCell ref="A284:D284"/>
    <mergeCell ref="A271:D271"/>
    <mergeCell ref="L160:L162"/>
    <mergeCell ref="L263:L265"/>
    <mergeCell ref="L186:L188"/>
    <mergeCell ref="L272:L274"/>
    <mergeCell ref="A150:D150"/>
    <mergeCell ref="A185:D185"/>
    <mergeCell ref="A192:D192"/>
    <mergeCell ref="A205:D205"/>
    <mergeCell ref="D153:D154"/>
    <mergeCell ref="A1:L1"/>
    <mergeCell ref="A2:L2"/>
    <mergeCell ref="L10:L12"/>
    <mergeCell ref="L26:L28"/>
    <mergeCell ref="A9:D9"/>
    <mergeCell ref="A3:F3"/>
    <mergeCell ref="A8:D8"/>
    <mergeCell ref="A7:D7"/>
    <mergeCell ref="A85:D85"/>
    <mergeCell ref="L115:L117"/>
    <mergeCell ref="L224:L226"/>
    <mergeCell ref="L246:L248"/>
    <mergeCell ref="A238:D238"/>
    <mergeCell ref="A128:D128"/>
    <mergeCell ref="A121:D121"/>
    <mergeCell ref="A108:D108"/>
    <mergeCell ref="A136:D136"/>
    <mergeCell ref="A94:D94"/>
    <mergeCell ref="L144:L146"/>
    <mergeCell ref="D232:D233"/>
    <mergeCell ref="L173:L175"/>
    <mergeCell ref="L179:L181"/>
    <mergeCell ref="L137:L139"/>
    <mergeCell ref="L193:L195"/>
    <mergeCell ref="L57:L59"/>
    <mergeCell ref="L67:L69"/>
    <mergeCell ref="L73:L75"/>
    <mergeCell ref="L129:L131"/>
    <mergeCell ref="L79:L81"/>
    <mergeCell ref="L86:L88"/>
    <mergeCell ref="A615:D615"/>
    <mergeCell ref="A564:D564"/>
    <mergeCell ref="L565:L567"/>
    <mergeCell ref="A549:D549"/>
    <mergeCell ref="L352:L354"/>
    <mergeCell ref="L392:L394"/>
    <mergeCell ref="L585:L587"/>
    <mergeCell ref="L484:L486"/>
    <mergeCell ref="A596:D596"/>
    <mergeCell ref="L597:L599"/>
    <mergeCell ref="L470:L472"/>
    <mergeCell ref="L458:L460"/>
    <mergeCell ref="L415:L417"/>
    <mergeCell ref="L386:L388"/>
    <mergeCell ref="L464:L466"/>
    <mergeCell ref="L408:L410"/>
    <mergeCell ref="L398:L400"/>
    <mergeCell ref="L334:L336"/>
    <mergeCell ref="L528:L530"/>
    <mergeCell ref="A490:C492"/>
    <mergeCell ref="L497:L499"/>
    <mergeCell ref="L477:L479"/>
    <mergeCell ref="L520:L522"/>
    <mergeCell ref="L346:L348"/>
    <mergeCell ref="L340:L342"/>
    <mergeCell ref="L452:L454"/>
    <mergeCell ref="L444:L446"/>
    <mergeCell ref="L438:L440"/>
    <mergeCell ref="L431:L433"/>
  </mergeCells>
  <phoneticPr fontId="7" type="noConversion"/>
  <printOptions horizontalCentered="1"/>
  <pageMargins left="0.23622047244094491" right="0.23622047244094491" top="0.35433070866141736" bottom="0.47244094488188981" header="0.31496062992125984" footer="0.31496062992125984"/>
  <pageSetup paperSize="9" scale="56" fitToHeight="14" orientation="landscape" horizontalDpi="300" verticalDpi="300" r:id="rId1"/>
  <rowBreaks count="8" manualBreakCount="8">
    <brk id="56" max="14" man="1"/>
    <brk id="120" max="14" man="1"/>
    <brk id="178" max="14" man="1"/>
    <brk id="229" max="14" man="1"/>
    <brk id="283" max="14" man="1"/>
    <brk id="381" max="11" man="1"/>
    <brk id="436" max="14" man="1"/>
    <brk id="47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POSEBNI DIO</vt:lpstr>
      <vt:lpstr>Opći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OPĆ GORNJA VRBA</cp:lastModifiedBy>
  <cp:lastPrinted>2024-12-30T07:27:05Z</cp:lastPrinted>
  <dcterms:created xsi:type="dcterms:W3CDTF">2005-09-08T07:24:42Z</dcterms:created>
  <dcterms:modified xsi:type="dcterms:W3CDTF">2025-09-19T07:56:52Z</dcterms:modified>
</cp:coreProperties>
</file>